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C:\Users\C0524943\Sync\LRA\"/>
    </mc:Choice>
  </mc:AlternateContent>
  <xr:revisionPtr revIDLastSave="0" documentId="13_ncr:1_{FA518DD3-E69F-40E5-9B92-94F569C011D2}" xr6:coauthVersionLast="47" xr6:coauthVersionMax="47" xr10:uidLastSave="{00000000-0000-0000-0000-000000000000}"/>
  <bookViews>
    <workbookView xWindow="28680" yWindow="-120" windowWidth="29040" windowHeight="15720" activeTab="2" xr2:uid="{00000000-000D-0000-FFFF-FFFF00000000}"/>
  </bookViews>
  <sheets>
    <sheet name="Instructions" sheetId="4" r:id="rId1"/>
    <sheet name="Seniority" sheetId="1" r:id="rId2"/>
    <sheet name="Term While Continuing"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 i="1" l="1"/>
  <c r="E12" i="1"/>
  <c r="E6" i="1"/>
  <c r="E7" i="1"/>
  <c r="E8" i="1"/>
  <c r="C4" i="3" l="1"/>
  <c r="F4" i="3" s="1"/>
  <c r="C5" i="3"/>
  <c r="F5" i="3" s="1"/>
  <c r="D6" i="4"/>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F10" i="3" s="1"/>
  <c r="C9" i="3"/>
  <c r="C8" i="3"/>
  <c r="F8" i="3" s="1"/>
  <c r="C7" i="3"/>
  <c r="F7" i="3" s="1"/>
  <c r="C6" i="3"/>
  <c r="E37" i="1"/>
  <c r="E36" i="1"/>
  <c r="E35" i="1"/>
  <c r="E34" i="1"/>
  <c r="E33" i="1"/>
  <c r="E32" i="1"/>
  <c r="E31" i="1"/>
  <c r="E30" i="1"/>
  <c r="E29" i="1"/>
  <c r="E28" i="1"/>
  <c r="E27" i="1"/>
  <c r="E26" i="1"/>
  <c r="E25" i="1"/>
  <c r="E24" i="1"/>
  <c r="E23" i="1"/>
  <c r="E22" i="1"/>
  <c r="E21" i="1"/>
  <c r="E18" i="1"/>
  <c r="E20" i="1"/>
  <c r="M3" i="1"/>
  <c r="I9" i="1"/>
  <c r="E19" i="1"/>
  <c r="E17" i="1"/>
  <c r="E16" i="1"/>
  <c r="E15" i="1"/>
  <c r="E14" i="1"/>
  <c r="G30" i="1"/>
  <c r="G37" i="1"/>
  <c r="G36" i="1"/>
  <c r="G35" i="1"/>
  <c r="G34" i="1"/>
  <c r="G33" i="1"/>
  <c r="G32" i="1"/>
  <c r="G31" i="1"/>
  <c r="G29" i="1"/>
  <c r="G28" i="1"/>
  <c r="G27" i="1"/>
  <c r="G26" i="1"/>
  <c r="G25" i="1"/>
  <c r="G24" i="1"/>
  <c r="G23" i="1"/>
  <c r="G22" i="1"/>
  <c r="G21" i="1"/>
  <c r="G20" i="1"/>
  <c r="G19" i="1"/>
  <c r="G18" i="1"/>
  <c r="G17" i="1"/>
  <c r="G16" i="1"/>
  <c r="G15" i="1"/>
  <c r="G14" i="1"/>
  <c r="G13" i="1"/>
  <c r="G11" i="1"/>
  <c r="G9" i="1"/>
  <c r="I8" i="1"/>
  <c r="I7" i="1"/>
  <c r="I6" i="3" l="1"/>
  <c r="I9" i="3"/>
  <c r="I7" i="3"/>
  <c r="I8" i="3"/>
  <c r="F9" i="3"/>
  <c r="I22" i="1"/>
  <c r="I30" i="1"/>
  <c r="I23" i="1"/>
  <c r="I31" i="1"/>
  <c r="I25" i="1"/>
  <c r="I33" i="1"/>
  <c r="I26" i="1"/>
  <c r="I34" i="1"/>
  <c r="I27" i="1"/>
  <c r="I35" i="1"/>
  <c r="I32" i="1"/>
  <c r="I28" i="1"/>
  <c r="I36" i="1"/>
  <c r="I24" i="1"/>
  <c r="I29" i="1"/>
  <c r="I37" i="1"/>
  <c r="L4" i="3"/>
  <c r="K4" i="3" s="1"/>
  <c r="I10" i="3"/>
  <c r="I5" i="3"/>
  <c r="I4" i="3"/>
  <c r="I18" i="1"/>
  <c r="F6" i="3"/>
  <c r="I12" i="1"/>
  <c r="I15" i="1"/>
  <c r="I16" i="1"/>
  <c r="I17" i="1"/>
  <c r="I19" i="1"/>
  <c r="I20" i="1"/>
  <c r="I13" i="1"/>
  <c r="I21" i="1"/>
  <c r="I14" i="1"/>
  <c r="J9" i="1"/>
  <c r="T4" i="3" l="1"/>
  <c r="U4" i="3" s="1"/>
  <c r="Q4" i="3"/>
  <c r="X4" i="3"/>
  <c r="S4" i="3"/>
  <c r="K5" i="3"/>
  <c r="Y4" i="3"/>
  <c r="V4" i="3"/>
  <c r="W4" i="3" s="1"/>
  <c r="L5" i="3"/>
  <c r="M4" i="3" a="1"/>
  <c r="M4" i="3" s="1"/>
  <c r="O4" i="3" l="1"/>
  <c r="M5" i="3" a="1"/>
  <c r="M5" i="3" s="1"/>
  <c r="Y5" i="3"/>
  <c r="L6" i="3"/>
  <c r="V5" i="3"/>
  <c r="K6" i="3"/>
  <c r="X5" i="3"/>
  <c r="T5" i="3"/>
  <c r="U5" i="3" s="1"/>
  <c r="S5" i="3"/>
  <c r="M6" i="3" l="1" a="1"/>
  <c r="M6" i="3" s="1"/>
  <c r="T6" i="3"/>
  <c r="U6" i="3" s="1"/>
  <c r="W5" i="3"/>
  <c r="Q5" i="3" s="1"/>
  <c r="O5" i="3" s="1"/>
  <c r="K7" i="3"/>
  <c r="L8" i="3" s="1"/>
  <c r="X6" i="3"/>
  <c r="L7" i="3"/>
  <c r="V6" i="3"/>
  <c r="Y6" i="3"/>
  <c r="S6" i="3"/>
  <c r="W6" i="3" l="1"/>
  <c r="Q6" i="3" s="1"/>
  <c r="O6" i="3" s="1"/>
  <c r="V7" i="3"/>
  <c r="K8" i="3"/>
  <c r="M8" i="3" s="1" a="1"/>
  <c r="M8" i="3" s="1"/>
  <c r="M7" i="3" a="1"/>
  <c r="M7" i="3" s="1"/>
  <c r="T7" i="3"/>
  <c r="U7" i="3" s="1"/>
  <c r="Y7" i="3"/>
  <c r="S7" i="3"/>
  <c r="X7" i="3"/>
  <c r="L9" i="3" l="1"/>
  <c r="K9" i="3"/>
  <c r="M9" i="3" s="1" a="1"/>
  <c r="M9" i="3" s="1"/>
  <c r="Y8" i="3"/>
  <c r="V8" i="3"/>
  <c r="S8" i="3"/>
  <c r="W7" i="3"/>
  <c r="Q7" i="3" s="1"/>
  <c r="O7" i="3" s="1"/>
  <c r="X8" i="3"/>
  <c r="T8" i="3"/>
  <c r="U8" i="3" s="1"/>
  <c r="L10" i="3" l="1"/>
  <c r="K10" i="3"/>
  <c r="M10" i="3" s="1" a="1"/>
  <c r="M10" i="3" s="1"/>
  <c r="X9" i="3"/>
  <c r="V9" i="3"/>
  <c r="Y9" i="3"/>
  <c r="T9" i="3"/>
  <c r="U9" i="3" s="1"/>
  <c r="S9" i="3"/>
  <c r="W8" i="3"/>
  <c r="Q8" i="3" s="1"/>
  <c r="O8" i="3" s="1"/>
  <c r="K11" i="3" l="1"/>
  <c r="M11" i="3" s="1" a="1"/>
  <c r="M11" i="3" s="1"/>
  <c r="L11" i="3"/>
  <c r="Y10" i="3"/>
  <c r="X10" i="3"/>
  <c r="V10" i="3"/>
  <c r="T10" i="3"/>
  <c r="U10" i="3" s="1"/>
  <c r="S10" i="3"/>
  <c r="W9" i="3"/>
  <c r="Q9" i="3" s="1"/>
  <c r="O9" i="3" s="1"/>
  <c r="L12" i="3" l="1"/>
  <c r="Y11" i="3"/>
  <c r="K12" i="3"/>
  <c r="M12" i="3" s="1" a="1"/>
  <c r="M12" i="3" s="1"/>
  <c r="V11" i="3"/>
  <c r="S11" i="3"/>
  <c r="X11" i="3"/>
  <c r="T11" i="3"/>
  <c r="U11" i="3" s="1"/>
  <c r="W10" i="3"/>
  <c r="Q10" i="3" s="1"/>
  <c r="O10" i="3" s="1"/>
  <c r="K13" i="3" l="1"/>
  <c r="M13" i="3" s="1" a="1"/>
  <c r="M13" i="3" s="1"/>
  <c r="L13" i="3"/>
  <c r="T12" i="3"/>
  <c r="U12" i="3" s="1"/>
  <c r="S12" i="3"/>
  <c r="V12" i="3"/>
  <c r="Y12" i="3"/>
  <c r="X12" i="3"/>
  <c r="W11" i="3"/>
  <c r="Q11" i="3" s="1"/>
  <c r="O11" i="3" s="1"/>
  <c r="W12" i="3" l="1"/>
  <c r="Q12" i="3" s="1"/>
  <c r="O12" i="3" s="1"/>
  <c r="K14" i="3"/>
  <c r="M14" i="3" s="1" a="1"/>
  <c r="M14" i="3" s="1"/>
  <c r="L14" i="3"/>
  <c r="Y13" i="3"/>
  <c r="X13" i="3"/>
  <c r="S13" i="3"/>
  <c r="V13" i="3"/>
  <c r="T13" i="3"/>
  <c r="U13" i="3" s="1"/>
  <c r="L15" i="3" l="1"/>
  <c r="K15" i="3"/>
  <c r="M15" i="3" s="1" a="1"/>
  <c r="M15" i="3" s="1"/>
  <c r="W13" i="3"/>
  <c r="Q13" i="3" s="1"/>
  <c r="O13" i="3" s="1"/>
  <c r="T14" i="3"/>
  <c r="U14" i="3" s="1"/>
  <c r="V14" i="3"/>
  <c r="W14" i="3" s="1"/>
  <c r="X14" i="3"/>
  <c r="Y14" i="3"/>
  <c r="S14" i="3"/>
  <c r="Q14" i="3" l="1"/>
  <c r="O14" i="3" s="1"/>
  <c r="L16" i="3"/>
  <c r="X16" i="3" s="1"/>
  <c r="K16" i="3"/>
  <c r="M16" i="3" s="1" a="1"/>
  <c r="M16" i="3" s="1"/>
  <c r="Y15" i="3"/>
  <c r="V15" i="3"/>
  <c r="X15" i="3"/>
  <c r="S15" i="3"/>
  <c r="T15" i="3"/>
  <c r="U15" i="3" s="1"/>
  <c r="K17" i="3" l="1"/>
  <c r="L17" i="3"/>
  <c r="V16" i="3"/>
  <c r="T16" i="3"/>
  <c r="U16" i="3" s="1"/>
  <c r="M17" i="3" a="1"/>
  <c r="M17" i="3" s="1"/>
  <c r="W15" i="3"/>
  <c r="Q15" i="3" s="1"/>
  <c r="O15" i="3" s="1"/>
  <c r="Y16" i="3"/>
  <c r="S16" i="3"/>
  <c r="T17" i="3"/>
  <c r="U17" i="3" s="1"/>
  <c r="S17" i="3"/>
  <c r="X17" i="3"/>
  <c r="V17" i="3"/>
  <c r="Y17" i="3"/>
  <c r="L18" i="3"/>
  <c r="K18" i="3"/>
  <c r="M18" i="3" s="1" a="1"/>
  <c r="M18" i="3" s="1"/>
  <c r="W16" i="3" l="1"/>
  <c r="Q16" i="3" s="1"/>
  <c r="O16" i="3" s="1"/>
  <c r="W17" i="3"/>
  <c r="T18" i="3"/>
  <c r="U18" i="3" s="1"/>
  <c r="S18" i="3"/>
  <c r="V18" i="3"/>
  <c r="Y18" i="3"/>
  <c r="X18" i="3"/>
  <c r="K19" i="3"/>
  <c r="M19" i="3" s="1" a="1"/>
  <c r="M19" i="3" s="1"/>
  <c r="L19" i="3"/>
  <c r="W18" i="3" l="1"/>
  <c r="Q18" i="3" s="1"/>
  <c r="O18" i="3" s="1"/>
  <c r="Q17" i="3"/>
  <c r="O17" i="3" s="1"/>
  <c r="T19" i="3"/>
  <c r="U19" i="3" s="1"/>
  <c r="S19" i="3"/>
  <c r="V19" i="3"/>
  <c r="Y19" i="3"/>
  <c r="X19" i="3"/>
  <c r="K20" i="3"/>
  <c r="M20" i="3" s="1" a="1"/>
  <c r="M20" i="3" s="1"/>
  <c r="L20" i="3"/>
  <c r="W19" i="3" l="1"/>
  <c r="T20" i="3"/>
  <c r="U20" i="3" s="1"/>
  <c r="S20" i="3"/>
  <c r="X20" i="3"/>
  <c r="Y20" i="3"/>
  <c r="V20" i="3"/>
  <c r="L21" i="3"/>
  <c r="K21" i="3"/>
  <c r="M21" i="3" s="1" a="1"/>
  <c r="M21" i="3" s="1"/>
  <c r="W20" i="3" l="1"/>
  <c r="Q20" i="3" s="1"/>
  <c r="O20" i="3" s="1"/>
  <c r="Q19" i="3"/>
  <c r="O19" i="3" s="1"/>
  <c r="T21" i="3"/>
  <c r="U21" i="3" s="1"/>
  <c r="S21" i="3"/>
  <c r="Y21" i="3"/>
  <c r="X21" i="3"/>
  <c r="V21" i="3"/>
  <c r="K22" i="3"/>
  <c r="M22" i="3" s="1" a="1"/>
  <c r="M22" i="3" s="1"/>
  <c r="L22" i="3"/>
  <c r="W21" i="3" l="1"/>
  <c r="Q21" i="3" s="1"/>
  <c r="O21" i="3" s="1"/>
  <c r="T22" i="3"/>
  <c r="U22" i="3" s="1"/>
  <c r="S22" i="3"/>
  <c r="Y22" i="3"/>
  <c r="X22" i="3"/>
  <c r="V22" i="3"/>
  <c r="L23" i="3"/>
  <c r="K23" i="3"/>
  <c r="M23" i="3" s="1" a="1"/>
  <c r="M23" i="3" s="1"/>
  <c r="W22" i="3" l="1"/>
  <c r="Q22" i="3" s="1"/>
  <c r="O22" i="3" s="1"/>
  <c r="T23" i="3"/>
  <c r="U23" i="3" s="1"/>
  <c r="S23" i="3"/>
  <c r="X23" i="3"/>
  <c r="V23" i="3"/>
  <c r="Y23" i="3"/>
  <c r="K24" i="3"/>
  <c r="M24" i="3" s="1" a="1"/>
  <c r="M24" i="3" s="1"/>
  <c r="L24" i="3"/>
  <c r="W23" i="3" l="1"/>
  <c r="T24" i="3"/>
  <c r="U24" i="3" s="1"/>
  <c r="S24" i="3"/>
  <c r="Y24" i="3"/>
  <c r="V24" i="3"/>
  <c r="X24" i="3"/>
  <c r="K25" i="3"/>
  <c r="M25" i="3" s="1" a="1"/>
  <c r="M25" i="3" s="1"/>
  <c r="L25" i="3"/>
  <c r="Q23" i="3" l="1"/>
  <c r="O23" i="3" s="1"/>
  <c r="T25" i="3"/>
  <c r="U25" i="3" s="1"/>
  <c r="S25" i="3"/>
  <c r="W24" i="3"/>
  <c r="Q24" i="3" s="1"/>
  <c r="O24" i="3" s="1"/>
  <c r="X25" i="3"/>
  <c r="V25" i="3"/>
  <c r="Y25" i="3"/>
  <c r="K26" i="3"/>
  <c r="M26" i="3" s="1" a="1"/>
  <c r="M26" i="3" s="1"/>
  <c r="L26" i="3"/>
  <c r="W25" i="3" l="1"/>
  <c r="Q25" i="3" s="1"/>
  <c r="O25" i="3" s="1"/>
  <c r="T26" i="3"/>
  <c r="U26" i="3" s="1"/>
  <c r="S26" i="3"/>
  <c r="V26" i="3"/>
  <c r="Y26" i="3"/>
  <c r="X26" i="3"/>
  <c r="K27" i="3"/>
  <c r="M27" i="3" s="1" a="1"/>
  <c r="M27" i="3" s="1"/>
  <c r="L27" i="3"/>
  <c r="W26" i="3" l="1"/>
  <c r="Q26" i="3" s="1"/>
  <c r="O26" i="3" s="1"/>
  <c r="T27" i="3"/>
  <c r="U27" i="3" s="1"/>
  <c r="S27" i="3"/>
  <c r="Y27" i="3"/>
  <c r="X27" i="3"/>
  <c r="V27" i="3"/>
  <c r="K28" i="3"/>
  <c r="M28" i="3" s="1" a="1"/>
  <c r="M28" i="3" s="1"/>
  <c r="L28" i="3"/>
  <c r="W27" i="3" l="1"/>
  <c r="Q27" i="3" s="1"/>
  <c r="O27" i="3" s="1"/>
  <c r="T28" i="3"/>
  <c r="U28" i="3" s="1"/>
  <c r="S28" i="3"/>
  <c r="X28" i="3"/>
  <c r="Y28" i="3"/>
  <c r="V28" i="3"/>
  <c r="L29" i="3"/>
  <c r="K29" i="3"/>
  <c r="M29" i="3" s="1" a="1"/>
  <c r="M29" i="3" s="1"/>
  <c r="W28" i="3" l="1"/>
  <c r="Q28" i="3" s="1"/>
  <c r="O28" i="3" s="1"/>
  <c r="T29" i="3"/>
  <c r="U29" i="3" s="1"/>
  <c r="S29" i="3"/>
  <c r="Y29" i="3"/>
  <c r="X29" i="3"/>
  <c r="V29" i="3"/>
  <c r="K30" i="3"/>
  <c r="M30" i="3" s="1" a="1"/>
  <c r="M30" i="3" s="1"/>
  <c r="L30" i="3"/>
  <c r="W29" i="3" l="1"/>
  <c r="Q29" i="3" s="1"/>
  <c r="O29" i="3" s="1"/>
  <c r="T30" i="3"/>
  <c r="U30" i="3" s="1"/>
  <c r="S30" i="3"/>
  <c r="Y30" i="3"/>
  <c r="X30" i="3"/>
  <c r="V30" i="3"/>
  <c r="L31" i="3"/>
  <c r="K31" i="3"/>
  <c r="M31" i="3" s="1" a="1"/>
  <c r="M31" i="3" s="1"/>
  <c r="W30" i="3" l="1"/>
  <c r="Q30" i="3" s="1"/>
  <c r="O30" i="3" s="1"/>
  <c r="T31" i="3"/>
  <c r="U31" i="3" s="1"/>
  <c r="S31" i="3"/>
  <c r="X31" i="3"/>
  <c r="V31" i="3"/>
  <c r="Y31" i="3"/>
  <c r="L32" i="3"/>
  <c r="K32" i="3"/>
  <c r="M32" i="3" s="1" a="1"/>
  <c r="M32" i="3" s="1"/>
  <c r="W31" i="3" l="1"/>
  <c r="Q31" i="3" s="1"/>
  <c r="O31" i="3" s="1"/>
  <c r="T32" i="3"/>
  <c r="U32" i="3" s="1"/>
  <c r="S32" i="3"/>
  <c r="V32" i="3"/>
  <c r="X32" i="3"/>
  <c r="Y32" i="3"/>
  <c r="L33" i="3"/>
  <c r="K33" i="3"/>
  <c r="M33" i="3" s="1" a="1"/>
  <c r="M33" i="3" s="1"/>
  <c r="W32" i="3" l="1"/>
  <c r="Q32" i="3" s="1"/>
  <c r="O32" i="3" s="1"/>
  <c r="T33" i="3"/>
  <c r="U33" i="3" s="1"/>
  <c r="S33" i="3"/>
  <c r="Y33" i="3"/>
  <c r="X33" i="3"/>
  <c r="V33" i="3"/>
  <c r="K34" i="3"/>
  <c r="M34" i="3" s="1" a="1"/>
  <c r="M34" i="3" s="1"/>
  <c r="L34" i="3"/>
  <c r="W33" i="3" l="1"/>
  <c r="Q33" i="3" s="1"/>
  <c r="O33" i="3" s="1"/>
  <c r="T34" i="3"/>
  <c r="U34" i="3" s="1"/>
  <c r="S34" i="3"/>
  <c r="Y34" i="3"/>
  <c r="X34" i="3"/>
  <c r="V34" i="3"/>
  <c r="L35" i="3"/>
  <c r="K35" i="3"/>
  <c r="M35" i="3" s="1" a="1"/>
  <c r="M35" i="3" s="1"/>
  <c r="W34" i="3" l="1"/>
  <c r="Q34" i="3" s="1"/>
  <c r="O34" i="3" s="1"/>
  <c r="T35" i="3"/>
  <c r="U35" i="3" s="1"/>
  <c r="S35" i="3"/>
  <c r="Y35" i="3"/>
  <c r="X35" i="3"/>
  <c r="V35" i="3"/>
  <c r="K36" i="3"/>
  <c r="M36" i="3" s="1" a="1"/>
  <c r="M36" i="3" s="1"/>
  <c r="L36" i="3"/>
  <c r="W35" i="3" l="1"/>
  <c r="Q35" i="3" s="1"/>
  <c r="O35" i="3" s="1"/>
  <c r="T36" i="3"/>
  <c r="U36" i="3" s="1"/>
  <c r="S36" i="3"/>
  <c r="X36" i="3"/>
  <c r="V36" i="3"/>
  <c r="Y36" i="3"/>
  <c r="L37" i="3"/>
  <c r="K37" i="3"/>
  <c r="M37" i="3" s="1" a="1"/>
  <c r="M37" i="3" s="1"/>
  <c r="W36" i="3" l="1"/>
  <c r="Q36" i="3" s="1"/>
  <c r="O36" i="3" s="1"/>
  <c r="T37" i="3"/>
  <c r="U37" i="3" s="1"/>
  <c r="S37" i="3"/>
  <c r="Y37" i="3"/>
  <c r="V37" i="3"/>
  <c r="X37" i="3"/>
  <c r="K38" i="3"/>
  <c r="M38" i="3" s="1" a="1"/>
  <c r="M38" i="3" s="1"/>
  <c r="L38" i="3"/>
  <c r="W37" i="3" l="1"/>
  <c r="Q37" i="3" s="1"/>
  <c r="O37" i="3" s="1"/>
  <c r="T38" i="3"/>
  <c r="U38" i="3" s="1"/>
  <c r="S38" i="3"/>
  <c r="Y38" i="3"/>
  <c r="X38" i="3"/>
  <c r="V38" i="3"/>
  <c r="W38" i="3" l="1"/>
  <c r="Q38" i="3" s="1"/>
  <c r="O38" i="3" s="1"/>
  <c r="J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<sst xmlns="http://schemas.openxmlformats.org/spreadsheetml/2006/main" count="45" uniqueCount="34">
  <si>
    <t>Seniority Calculator</t>
  </si>
  <si>
    <t>Continuing Positions</t>
  </si>
  <si>
    <t>Seniority Accured</t>
  </si>
  <si>
    <t>Warnings</t>
  </si>
  <si>
    <t>Seniority =</t>
  </si>
  <si>
    <t>Must be in order of newest to oldest</t>
  </si>
  <si>
    <t>Start Date  YYYY-MM-DD</t>
  </si>
  <si>
    <t>End Date      YYYY-MM-DD</t>
  </si>
  <si>
    <t>Term Positions - before becoming continuing</t>
  </si>
  <si>
    <t>Year Start</t>
  </si>
  <si>
    <t>Year End</t>
  </si>
  <si>
    <t>Term Seniority</t>
  </si>
  <si>
    <t>Term Positions - while continuing</t>
  </si>
  <si>
    <t>Seniority Per Year</t>
  </si>
  <si>
    <t>Regular Seniority during period</t>
  </si>
  <si>
    <t>all 1st</t>
  </si>
  <si>
    <t>1st &amp; 2nd</t>
  </si>
  <si>
    <t>all 2nd</t>
  </si>
  <si>
    <t>2nd &amp; 3rd</t>
  </si>
  <si>
    <t>all 3rd</t>
  </si>
  <si>
    <t>part 3rd</t>
  </si>
  <si>
    <t>part 1st</t>
  </si>
  <si>
    <t>Eligible Term Seniority</t>
  </si>
  <si>
    <t>Instructions:</t>
  </si>
  <si>
    <t>The CCFA provides the seniority calculator as a tool to allow you to check your seniority.</t>
  </si>
  <si>
    <t>There may be some differences between the seniority calculated by this spread sheet and the seniority calculated by the College. If the discrepency is material (i.e. it may affect your ranking with respect to layoff, your right to bump other faculty, or your notice or severance pay (see section 3 of the Collective Agreement) please contact the CCFA to help confirm what your actual seniority should be.</t>
  </si>
  <si>
    <t>Notice that in the above the last day on the row below is the day before the first day on the row above. If you want to compare your seniority        to the seniority on the list published by the college please put the date used as the last date by the college - so for the 2024 seniority list, use 2024-10-26.</t>
  </si>
  <si>
    <t>Disclaimer and Warning</t>
  </si>
  <si>
    <t>Percentage Workload</t>
  </si>
  <si>
    <t xml:space="preserve">Percentage Workload  </t>
  </si>
  <si>
    <t>End Date  YYYY-MM-DD</t>
  </si>
  <si>
    <t>There are three parts to the calculator. Two parts are in the "Seniority" sheet. The first part of the Seniority sheet is where you put information about your continuing contracts. If you have continuing contracts that have different amounts of work then you list the dates for each time period where you have a differing amount of contining FTE workload. Most people either start at full time or start at part time and move up. There are only three rows for this - it is assumed that people would not have more than three differing FTE levels of continuing contracts during their time at Camosun. The three rows must be in date order from youngest to oldest. The following is an example:</t>
  </si>
  <si>
    <t>The second part on the Seniority sheet is the work done when you were strictly on term contracts. The order of entry for these contracts does not matter. All work done as a term faculty member counts (including overloads) and the work done is multiplied by 1.2 to account for the fact that continuing faculty get seniority credit for vacation time. Contracts can overlap. The one caveat is that if you have a term contract that starts before you become continuing and continues after you become continuing, you must split that contract up into two parts. For instance if you became continuing half time on February 1, 2022 as a librarian, but you also had a 25% term contract to teach a computer science course from January 3, 2022 through to April 22, 2022, then you would need to put the the first part of that term contract (2022-01-03 throught to 2022-01-31 on the Seniority sheet, and the rest of the term contract (2022-02-01 through to 2022-04-22) on the Term While Continuing sheet).</t>
  </si>
  <si>
    <t>All term contracts you have once you are continuing should be put into the Term While Continuing sheet. If you are full time continuing for the whole academic year (ie. August 25 of one year to August 24 of the next, then there is no need to enter any term contracts that are wholly within that period. Further, if you are full time contining now there is no need to enter any term contracts you have done since you became full time continuing. Contracts in this section can be in any order you choose, but a term contract that includes both August 24 and August 25 of a particular calendar year must be split into two contracts - one ending on the 24th of August and the other starting on the 25th of August.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</si>
</sst>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0.000"/>
    <numFmt numFmtId="167" formatCode="0.0%"/>
    <numFmt numFmtId="168" formatCode="0.000%"/>
  </numFmts>
  <fonts count="7" x14ac:knownFonts="1">
    <font>
      <sz val="11"/>
      <color theme="1"/>
      <name val="Calibri"/>
      <family val="2"/>
      <scheme val="minor"/>
    </font>
    <font>
      <b/>
      <sz val="12"/>
      <color theme="1"/>
      <name val="Calibri"/>
      <family val="2"/>
      <scheme val="minor"/>
    </font>
    <font>
      <b/>
      <sz val="16"/>
      <color theme="1"/>
      <name val="Calibri"/>
      <family val="2"/>
      <scheme val="minor"/>
    </font>
    <font>
      <sz val="36"/>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s>
  <fills count="3">
    <fill>
      <patternFill patternType="none"/>
    </fill>
    <fill>
      <patternFill patternType="gray125"/>
    </fill>
    <fill>
      <patternFill patternType="solid">
        <fgColor theme="1"/>
        <bgColor indexed="64"/>
      </patternFill>
    </fill>
  </fills>
  <borders count="1">
    <border>
      <left/>
      <right/>
      <top/>
      <bottom/>
      <diagonal/>
    </border>
  </borders>
  <cellStyleXfs count="3">
    <xf numFmtId="0" fontId="0" fillId="0" borderId="0"/>
    <xf numFmtId="9" fontId="6" fillId="0" borderId="0" applyFont="0" applyFill="0" applyBorder="0" applyAlignment="0" applyProtection="0"/>
    <xf numFmtId="44" fontId="6" fillId="0" borderId="0" applyFont="0" applyFill="0" applyBorder="0" applyAlignment="0" applyProtection="0"/>
  </cellStyleXfs>
  <cellXfs count="61">
    <xf numFmtId="0" fontId="0" fillId="0" borderId="0" xfId="0"/>
    <xf numFmtId="14" fontId="0" fillId="0" borderId="0" xfId="0" applyNumberFormat="1"/>
    <xf numFmtId="2" fontId="0" fillId="0" borderId="0" xfId="0" applyNumberFormat="1"/>
    <xf numFmtId="14" fontId="0" fillId="2" borderId="0" xfId="0" applyNumberFormat="1" applyFill="1"/>
    <xf numFmtId="0" fontId="0" fillId="2" borderId="0" xfId="0" applyFill="1"/>
    <xf numFmtId="2" fontId="0" fillId="2" borderId="0" xfId="0" applyNumberFormat="1" applyFill="1"/>
    <xf numFmtId="14" fontId="0" fillId="0" borderId="0" xfId="0" applyNumberFormat="1" applyAlignment="1" applyProtection="1">
      <alignment horizontal="right"/>
      <protection locked="0"/>
    </xf>
    <xf numFmtId="14" fontId="0" fillId="0" borderId="0" xfId="0" applyNumberFormat="1" applyProtection="1">
      <protection locked="0"/>
    </xf>
    <xf numFmtId="0" fontId="0" fillId="0" borderId="0" xfId="0" applyProtection="1">
      <protection locked="0"/>
    </xf>
    <xf numFmtId="0" fontId="0" fillId="0" borderId="0" xfId="0" applyProtection="1">
      <protection hidden="1"/>
    </xf>
    <xf numFmtId="0" fontId="0" fillId="2" borderId="0" xfId="0" applyFill="1" applyProtection="1">
      <protection hidden="1"/>
    </xf>
    <xf numFmtId="14" fontId="0" fillId="0" borderId="0" xfId="0" applyNumberFormat="1" applyAlignment="1">
      <alignment horizontal="right" wrapText="1"/>
    </xf>
    <xf numFmtId="0" fontId="0" fillId="0" borderId="0" xfId="0" applyAlignment="1">
      <alignment wrapText="1"/>
    </xf>
    <xf numFmtId="0" fontId="0" fillId="0" borderId="0" xfId="0" applyAlignment="1"/>
    <xf numFmtId="164" fontId="0" fillId="0" borderId="0" xfId="0" applyNumberFormat="1"/>
    <xf numFmtId="14" fontId="0" fillId="0" borderId="0" xfId="0" applyNumberFormat="1" applyAlignment="1"/>
    <xf numFmtId="14" fontId="0" fillId="0" borderId="0" xfId="0" applyNumberFormat="1" applyProtection="1"/>
    <xf numFmtId="14" fontId="0" fillId="0" borderId="0" xfId="0" applyNumberFormat="1" applyAlignment="1" applyProtection="1">
      <alignment horizontal="right" wrapText="1"/>
      <protection locked="0"/>
    </xf>
    <xf numFmtId="14" fontId="2" fillId="0" borderId="0" xfId="0" applyNumberFormat="1" applyFont="1" applyProtection="1"/>
    <xf numFmtId="0" fontId="0" fillId="0" borderId="0" xfId="0" applyProtection="1"/>
    <xf numFmtId="2" fontId="0" fillId="0" borderId="0" xfId="0" applyNumberFormat="1" applyAlignment="1" applyProtection="1">
      <alignment wrapText="1"/>
    </xf>
    <xf numFmtId="0" fontId="2" fillId="0" borderId="0" xfId="0" applyFont="1" applyAlignment="1" applyProtection="1"/>
    <xf numFmtId="2" fontId="0" fillId="0" borderId="0" xfId="0" applyNumberFormat="1" applyProtection="1"/>
    <xf numFmtId="0" fontId="0" fillId="0" borderId="0" xfId="0" applyAlignment="1" applyProtection="1"/>
    <xf numFmtId="164" fontId="0" fillId="0" borderId="0" xfId="0" applyNumberFormat="1" applyProtection="1"/>
    <xf numFmtId="14" fontId="2" fillId="2" borderId="0" xfId="0" applyNumberFormat="1" applyFont="1" applyFill="1" applyProtection="1"/>
    <xf numFmtId="0" fontId="0" fillId="2" borderId="0" xfId="0" applyFill="1" applyProtection="1"/>
    <xf numFmtId="14" fontId="1" fillId="2" borderId="0" xfId="0" applyNumberFormat="1" applyFont="1" applyFill="1" applyAlignment="1" applyProtection="1">
      <alignment horizontal="left"/>
    </xf>
    <xf numFmtId="0" fontId="0" fillId="0" borderId="0" xfId="0" applyAlignment="1" applyProtection="1">
      <alignment horizontal="center"/>
    </xf>
    <xf numFmtId="0" fontId="2" fillId="0" borderId="0" xfId="0" applyFont="1" applyProtection="1"/>
    <xf numFmtId="14" fontId="0" fillId="2" borderId="0" xfId="0" applyNumberFormat="1" applyFill="1" applyProtection="1"/>
    <xf numFmtId="2" fontId="0" fillId="2" borderId="0" xfId="0" applyNumberFormat="1" applyFill="1" applyProtection="1"/>
    <xf numFmtId="164" fontId="0" fillId="0" borderId="0" xfId="0" applyNumberFormat="1" applyAlignment="1" applyProtection="1">
      <alignment wrapText="1"/>
    </xf>
    <xf numFmtId="0" fontId="2" fillId="2" borderId="0" xfId="0" applyFont="1" applyFill="1" applyAlignment="1" applyProtection="1">
      <protection hidden="1"/>
    </xf>
    <xf numFmtId="0" fontId="0" fillId="2" borderId="0" xfId="0" applyFill="1" applyAlignment="1" applyProtection="1">
      <alignment horizontal="center"/>
      <protection hidden="1"/>
    </xf>
    <xf numFmtId="14" fontId="0" fillId="0" borderId="0" xfId="0" applyNumberFormat="1" applyAlignment="1" applyProtection="1">
      <alignment horizontal="center" vertical="center" wrapText="1"/>
    </xf>
    <xf numFmtId="14" fontId="0" fillId="0" borderId="0" xfId="0" applyNumberFormat="1" applyAlignment="1" applyProtection="1">
      <alignment horizontal="center" wrapText="1"/>
    </xf>
    <xf numFmtId="14" fontId="0" fillId="0" borderId="0" xfId="0" applyNumberFormat="1" applyAlignment="1" applyProtection="1">
      <alignment horizontal="center"/>
    </xf>
    <xf numFmtId="0" fontId="0" fillId="0" borderId="0" xfId="0" applyAlignment="1" applyProtection="1">
      <alignment horizontal="center" wrapText="1"/>
    </xf>
    <xf numFmtId="0" fontId="0" fillId="0" borderId="0" xfId="0" applyAlignment="1">
      <alignment horizontal="right" wrapText="1"/>
    </xf>
    <xf numFmtId="9" fontId="0" fillId="0" borderId="0" xfId="0" applyNumberFormat="1" applyAlignment="1"/>
    <xf numFmtId="164" fontId="2" fillId="0" borderId="0" xfId="0" applyNumberFormat="1" applyFont="1" applyProtection="1"/>
    <xf numFmtId="0" fontId="4" fillId="0" borderId="0" xfId="0" applyFont="1" applyAlignment="1">
      <alignment wrapText="1"/>
    </xf>
    <xf numFmtId="0" fontId="0" fillId="0" borderId="0" xfId="0" applyAlignment="1">
      <alignment wrapText="1"/>
    </xf>
    <xf numFmtId="0" fontId="5" fillId="0" borderId="0" xfId="0" applyFont="1" applyAlignment="1"/>
    <xf numFmtId="14" fontId="3" fillId="0" borderId="0" xfId="0" applyNumberFormat="1" applyFont="1" applyAlignment="1" applyProtection="1">
      <alignment horizontal="center"/>
    </xf>
    <xf numFmtId="14" fontId="2" fillId="0" borderId="0" xfId="0" applyNumberFormat="1" applyFont="1" applyProtection="1"/>
    <xf numFmtId="14" fontId="1" fillId="0" borderId="0" xfId="0" applyNumberFormat="1" applyFont="1" applyAlignment="1" applyProtection="1">
      <alignment horizontal="left"/>
    </xf>
    <xf numFmtId="0" fontId="2" fillId="2" borderId="0" xfId="0" applyFont="1" applyFill="1" applyAlignment="1" applyProtection="1">
      <alignment horizontal="center" vertical="center"/>
      <protection hidden="1"/>
    </xf>
    <xf numFmtId="14" fontId="2" fillId="0" borderId="0" xfId="0" applyNumberFormat="1" applyFont="1" applyAlignment="1" applyProtection="1">
      <alignment vertical="center"/>
    </xf>
    <xf numFmtId="0" fontId="2" fillId="0" borderId="0" xfId="0" applyFont="1" applyAlignment="1" applyProtection="1">
      <alignment horizontal="center" vertical="center"/>
    </xf>
    <xf numFmtId="167" fontId="0" fillId="0" borderId="0" xfId="1" applyNumberFormat="1" applyFont="1" applyProtection="1">
      <protection locked="0"/>
    </xf>
    <xf numFmtId="168" fontId="0" fillId="0" borderId="0" xfId="2" applyNumberFormat="1" applyFont="1" applyProtection="1">
      <protection locked="0"/>
    </xf>
    <xf numFmtId="167" fontId="0" fillId="0" borderId="0" xfId="1" applyNumberFormat="1" applyFont="1" applyAlignment="1" applyProtection="1">
      <alignment horizontal="right" wrapText="1"/>
      <protection locked="0"/>
    </xf>
    <xf numFmtId="167" fontId="0" fillId="0" borderId="0" xfId="1" applyNumberFormat="1" applyFont="1" applyAlignment="1" applyProtection="1">
      <alignment wrapText="1"/>
      <protection locked="0"/>
    </xf>
    <xf numFmtId="167" fontId="0" fillId="0" borderId="0" xfId="2" applyNumberFormat="1" applyFont="1" applyAlignment="1" applyProtection="1">
      <alignment wrapText="1"/>
      <protection locked="0"/>
    </xf>
    <xf numFmtId="167" fontId="0" fillId="0" borderId="0" xfId="2" applyNumberFormat="1" applyFont="1" applyProtection="1">
      <protection locked="0"/>
    </xf>
    <xf numFmtId="14" fontId="0" fillId="2" borderId="0" xfId="0" applyNumberFormat="1" applyFill="1" applyProtection="1">
      <protection hidden="1"/>
    </xf>
    <xf numFmtId="0" fontId="0" fillId="2" borderId="0" xfId="0" applyFill="1" applyAlignment="1" applyProtection="1">
      <alignment wrapText="1"/>
      <protection hidden="1"/>
    </xf>
    <xf numFmtId="164" fontId="0" fillId="2" borderId="0" xfId="0" applyNumberFormat="1" applyFill="1" applyProtection="1">
      <protection hidden="1"/>
    </xf>
    <xf numFmtId="2" fontId="0" fillId="2" borderId="0" xfId="0" applyNumberFormat="1" applyFill="1" applyProtection="1">
      <protection hidden="1"/>
    </xf>
  </cellXfs>
  <cellStyles count="3">
    <cellStyle name="Currency" xfId="2" builtinId="4"/>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EBC9A-D7C9-489E-9C73-3C99D0037488}">
  <dimension ref="A1:P17"/>
  <sheetViews>
    <sheetView workbookViewId="0">
      <selection activeCell="D24" sqref="D24"/>
    </sheetView>
  </sheetViews>
  <sheetFormatPr defaultRowHeight="15" x14ac:dyDescent="0.25"/>
  <cols>
    <col min="3" max="3" width="12.42578125" customWidth="1"/>
    <col min="4" max="4" width="12.7109375" customWidth="1"/>
    <col min="5" max="5" width="10.7109375" customWidth="1"/>
    <col min="13" max="13" width="19.85546875" customWidth="1"/>
    <col min="15" max="16" width="10.140625" bestFit="1" customWidth="1"/>
  </cols>
  <sheetData>
    <row r="1" spans="1:16" ht="18.75" x14ac:dyDescent="0.3">
      <c r="A1" s="44" t="s">
        <v>24</v>
      </c>
      <c r="B1" s="44"/>
      <c r="C1" s="44"/>
      <c r="D1" s="44"/>
      <c r="E1" s="44"/>
      <c r="F1" s="44"/>
      <c r="G1" s="44"/>
      <c r="H1" s="44"/>
      <c r="I1" s="44"/>
      <c r="J1" s="44"/>
      <c r="K1" s="44"/>
      <c r="L1" s="44"/>
      <c r="M1" s="44"/>
      <c r="N1" s="13"/>
    </row>
    <row r="2" spans="1:16" x14ac:dyDescent="0.25">
      <c r="B2" s="13"/>
      <c r="C2" s="13"/>
      <c r="D2" s="13"/>
      <c r="E2" s="13"/>
      <c r="F2" s="13"/>
      <c r="G2" s="13"/>
      <c r="H2" s="13"/>
      <c r="I2" s="13"/>
      <c r="J2" s="13"/>
      <c r="K2" s="13"/>
      <c r="L2" s="13"/>
      <c r="M2" s="13"/>
      <c r="N2" s="13"/>
    </row>
    <row r="3" spans="1:16" ht="18.75" x14ac:dyDescent="0.3">
      <c r="A3" s="44" t="s">
        <v>23</v>
      </c>
      <c r="B3" s="44"/>
      <c r="C3" s="44"/>
      <c r="D3" s="44"/>
      <c r="E3" s="44"/>
      <c r="F3" s="44"/>
      <c r="G3" s="44"/>
      <c r="H3" s="44"/>
      <c r="I3" s="44"/>
      <c r="J3" s="44"/>
      <c r="K3" s="44"/>
      <c r="L3" s="44"/>
      <c r="M3" s="44"/>
      <c r="N3" s="13"/>
    </row>
    <row r="4" spans="1:16" ht="78" customHeight="1" x14ac:dyDescent="0.25">
      <c r="B4" s="43" t="s">
        <v>31</v>
      </c>
      <c r="C4" s="43"/>
      <c r="D4" s="43"/>
      <c r="E4" s="43"/>
      <c r="F4" s="43"/>
      <c r="G4" s="43"/>
      <c r="H4" s="43"/>
      <c r="I4" s="43"/>
      <c r="J4" s="43"/>
      <c r="K4" s="43"/>
      <c r="L4" s="43"/>
      <c r="M4" s="43"/>
      <c r="N4" s="13"/>
    </row>
    <row r="5" spans="1:16" ht="36" customHeight="1" x14ac:dyDescent="0.25">
      <c r="B5" s="13"/>
      <c r="C5" s="11" t="s">
        <v>6</v>
      </c>
      <c r="D5" s="11" t="s">
        <v>7</v>
      </c>
      <c r="E5" s="39" t="s">
        <v>28</v>
      </c>
      <c r="F5" s="13"/>
      <c r="G5" s="13"/>
      <c r="H5" s="13"/>
      <c r="I5" s="13"/>
      <c r="J5" s="13"/>
      <c r="K5" s="13"/>
      <c r="L5" s="13"/>
      <c r="M5" s="13"/>
      <c r="N5" s="13"/>
    </row>
    <row r="6" spans="1:16" x14ac:dyDescent="0.25">
      <c r="B6" s="13"/>
      <c r="C6" s="15">
        <v>44805</v>
      </c>
      <c r="D6" s="15">
        <f ca="1">TODAY()</f>
        <v>46028</v>
      </c>
      <c r="E6" s="40">
        <v>0.75</v>
      </c>
      <c r="F6" s="13"/>
      <c r="G6" s="13"/>
      <c r="H6" s="13"/>
      <c r="I6" s="13"/>
      <c r="J6" s="13"/>
      <c r="K6" s="13"/>
      <c r="L6" s="13"/>
      <c r="M6" s="13"/>
      <c r="N6" s="13"/>
    </row>
    <row r="7" spans="1:16" x14ac:dyDescent="0.25">
      <c r="B7" s="13"/>
      <c r="C7" s="15">
        <v>43339</v>
      </c>
      <c r="D7" s="15">
        <v>44804</v>
      </c>
      <c r="E7" s="40">
        <v>1</v>
      </c>
      <c r="F7" s="13"/>
      <c r="G7" s="13"/>
      <c r="H7" s="13"/>
      <c r="I7" s="13"/>
      <c r="J7" s="13"/>
      <c r="K7" s="13"/>
      <c r="L7" s="13"/>
      <c r="M7" s="13"/>
      <c r="N7" s="13"/>
    </row>
    <row r="8" spans="1:16" x14ac:dyDescent="0.25">
      <c r="B8" s="13"/>
      <c r="C8" s="15">
        <v>41880</v>
      </c>
      <c r="D8" s="15">
        <v>43338</v>
      </c>
      <c r="E8" s="40">
        <v>0.5</v>
      </c>
      <c r="F8" s="13"/>
      <c r="G8" s="13"/>
      <c r="H8" s="13"/>
      <c r="I8" s="13"/>
      <c r="J8" s="13"/>
      <c r="K8" s="13"/>
      <c r="L8" s="13"/>
      <c r="M8" s="13"/>
      <c r="N8" s="13"/>
      <c r="O8" s="1"/>
      <c r="P8" s="1"/>
    </row>
    <row r="9" spans="1:16" x14ac:dyDescent="0.25">
      <c r="B9" s="13"/>
      <c r="C9" s="13"/>
      <c r="D9" s="13"/>
      <c r="E9" s="13"/>
      <c r="F9" s="13"/>
      <c r="G9" s="13"/>
      <c r="H9" s="13"/>
      <c r="I9" s="13"/>
      <c r="J9" s="13"/>
      <c r="K9" s="13"/>
      <c r="L9" s="13"/>
      <c r="M9" s="13"/>
      <c r="N9" s="13"/>
    </row>
    <row r="10" spans="1:16" ht="50.1" customHeight="1" x14ac:dyDescent="0.25">
      <c r="B10" s="43" t="s">
        <v>26</v>
      </c>
      <c r="C10" s="43"/>
      <c r="D10" s="43"/>
      <c r="E10" s="43"/>
      <c r="F10" s="43"/>
      <c r="G10" s="43"/>
      <c r="H10" s="43"/>
      <c r="I10" s="43"/>
      <c r="J10" s="43"/>
      <c r="K10" s="43"/>
      <c r="L10" s="43"/>
      <c r="M10" s="43"/>
      <c r="N10" s="13"/>
    </row>
    <row r="11" spans="1:16" x14ac:dyDescent="0.25">
      <c r="B11" s="13"/>
      <c r="C11" s="13"/>
      <c r="D11" s="13"/>
      <c r="E11" s="13"/>
      <c r="F11" s="13"/>
      <c r="G11" s="13"/>
      <c r="H11" s="13"/>
      <c r="I11" s="13"/>
      <c r="J11" s="13"/>
      <c r="K11" s="13"/>
      <c r="L11" s="13"/>
      <c r="M11" s="13"/>
      <c r="N11" s="13"/>
    </row>
    <row r="12" spans="1:16" ht="106.5" customHeight="1" x14ac:dyDescent="0.25">
      <c r="B12" s="43" t="s">
        <v>32</v>
      </c>
      <c r="C12" s="43"/>
      <c r="D12" s="43"/>
      <c r="E12" s="43"/>
      <c r="F12" s="43"/>
      <c r="G12" s="43"/>
      <c r="H12" s="43"/>
      <c r="I12" s="43"/>
      <c r="J12" s="43"/>
      <c r="K12" s="43"/>
      <c r="L12" s="43"/>
      <c r="M12" s="43"/>
      <c r="N12" s="13"/>
    </row>
    <row r="13" spans="1:16" x14ac:dyDescent="0.25">
      <c r="B13" s="13"/>
      <c r="C13" s="13"/>
      <c r="D13" s="13"/>
      <c r="E13" s="13"/>
      <c r="F13" s="13"/>
      <c r="G13" s="13"/>
      <c r="H13" s="13"/>
      <c r="I13" s="13"/>
      <c r="J13" s="13"/>
      <c r="K13" s="13"/>
      <c r="L13" s="13"/>
      <c r="M13" s="13"/>
      <c r="N13" s="13"/>
    </row>
    <row r="14" spans="1:16" ht="77.45" customHeight="1" x14ac:dyDescent="0.25">
      <c r="B14" s="43" t="s">
        <v>33</v>
      </c>
      <c r="C14" s="43"/>
      <c r="D14" s="43"/>
      <c r="E14" s="43"/>
      <c r="F14" s="43"/>
      <c r="G14" s="43"/>
      <c r="H14" s="43"/>
      <c r="I14" s="43"/>
      <c r="J14" s="43"/>
      <c r="K14" s="43"/>
      <c r="L14" s="43"/>
      <c r="M14" s="43"/>
      <c r="N14" s="13"/>
    </row>
    <row r="15" spans="1:16" ht="13.5" customHeight="1" x14ac:dyDescent="0.25">
      <c r="B15" s="12"/>
      <c r="C15" s="12"/>
      <c r="D15" s="12"/>
      <c r="E15" s="12"/>
      <c r="F15" s="12"/>
      <c r="G15" s="12"/>
      <c r="H15" s="12"/>
      <c r="I15" s="12"/>
      <c r="J15" s="12"/>
      <c r="K15" s="12"/>
      <c r="L15" s="12"/>
      <c r="M15" s="12"/>
      <c r="N15" s="13"/>
    </row>
    <row r="16" spans="1:16" ht="23.1" customHeight="1" x14ac:dyDescent="0.3">
      <c r="A16" s="44" t="s">
        <v>27</v>
      </c>
      <c r="B16" s="44"/>
      <c r="C16" s="44"/>
      <c r="D16" s="44"/>
      <c r="E16" s="44"/>
      <c r="F16" s="44"/>
      <c r="G16" s="44"/>
      <c r="H16" s="44"/>
      <c r="I16" s="44"/>
      <c r="J16" s="44"/>
      <c r="K16" s="44"/>
      <c r="L16" s="44"/>
      <c r="M16" s="44"/>
      <c r="N16" s="13"/>
    </row>
    <row r="17" spans="2:13" ht="51.95" customHeight="1" x14ac:dyDescent="0.25">
      <c r="B17" s="42" t="s">
        <v>25</v>
      </c>
      <c r="C17" s="43"/>
      <c r="D17" s="43"/>
      <c r="E17" s="43"/>
      <c r="F17" s="43"/>
      <c r="G17" s="43"/>
      <c r="H17" s="43"/>
      <c r="I17" s="43"/>
      <c r="J17" s="43"/>
      <c r="K17" s="43"/>
      <c r="L17" s="43"/>
      <c r="M17" s="43"/>
    </row>
  </sheetData>
  <sheetProtection algorithmName="SHA-512" hashValue="Wh/LarQOMdFdHi04+W0DqXI1NAyHesxL+kQs2KsFFgo01xh6zOPn1b2WRplQlFFfrtdJtJG0bZeG77+813Nl7w==" saltValue="fvV4aBACVtWkBuaE3BPhiQ==" spinCount="100000" sheet="1" selectLockedCells="1" selectUnlockedCells="1"/>
  <mergeCells count="8">
    <mergeCell ref="B17:M17"/>
    <mergeCell ref="A1:M1"/>
    <mergeCell ref="A3:M3"/>
    <mergeCell ref="A16:M16"/>
    <mergeCell ref="B4:M4"/>
    <mergeCell ref="B10:M10"/>
    <mergeCell ref="B12:M12"/>
    <mergeCell ref="B14:M1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38"/>
  <sheetViews>
    <sheetView workbookViewId="0">
      <selection activeCell="D8" sqref="D8"/>
    </sheetView>
  </sheetViews>
  <sheetFormatPr defaultRowHeight="15" x14ac:dyDescent="0.25"/>
  <cols>
    <col min="1" max="1" width="10.140625" style="1" bestFit="1" customWidth="1"/>
    <col min="2" max="2" width="13.5703125" style="1" customWidth="1"/>
    <col min="3" max="3" width="12.85546875" customWidth="1"/>
    <col min="4" max="4" width="15.85546875" style="2" customWidth="1"/>
    <col min="5" max="5" width="11.85546875" customWidth="1"/>
    <col min="6" max="6" width="14.5703125" style="9" customWidth="1"/>
    <col min="7" max="7" width="0.140625" style="9" customWidth="1"/>
    <col min="8" max="8" width="0.5703125" style="9" hidden="1" customWidth="1"/>
    <col min="9" max="9" width="16.42578125" customWidth="1"/>
    <col min="10" max="10" width="17.85546875" customWidth="1"/>
    <col min="11" max="12" width="0.42578125" style="9" customWidth="1"/>
    <col min="13" max="15" width="0.140625" style="9" customWidth="1"/>
    <col min="16" max="16" width="5.5703125" customWidth="1"/>
  </cols>
  <sheetData>
    <row r="1" spans="1:16" ht="14.45" customHeight="1" x14ac:dyDescent="0.25">
      <c r="A1" s="45" t="s">
        <v>0</v>
      </c>
      <c r="B1" s="45"/>
      <c r="C1" s="45"/>
      <c r="D1" s="45"/>
      <c r="E1" s="45"/>
      <c r="F1" s="45"/>
      <c r="G1" s="45"/>
      <c r="H1" s="45"/>
      <c r="I1" s="45"/>
      <c r="J1" s="45"/>
      <c r="K1" s="45"/>
      <c r="L1" s="45"/>
      <c r="M1" s="45"/>
      <c r="N1" s="45"/>
      <c r="O1" s="16"/>
      <c r="P1" s="4"/>
    </row>
    <row r="2" spans="1:16" ht="35.450000000000003" customHeight="1" x14ac:dyDescent="0.25">
      <c r="A2" s="45"/>
      <c r="B2" s="45"/>
      <c r="C2" s="45"/>
      <c r="D2" s="45"/>
      <c r="E2" s="45"/>
      <c r="F2" s="45"/>
      <c r="G2" s="45"/>
      <c r="H2" s="45"/>
      <c r="I2" s="45"/>
      <c r="J2" s="45"/>
      <c r="K2" s="45"/>
      <c r="L2" s="45"/>
      <c r="M2" s="45"/>
      <c r="N2" s="45"/>
      <c r="O2" s="16"/>
      <c r="P2" s="4"/>
    </row>
    <row r="3" spans="1:16" ht="27.95" customHeight="1" x14ac:dyDescent="0.35">
      <c r="A3" s="46" t="s">
        <v>1</v>
      </c>
      <c r="B3" s="46"/>
      <c r="C3" s="46"/>
      <c r="D3" s="46"/>
      <c r="E3" s="19"/>
      <c r="F3" s="19"/>
      <c r="G3" s="19"/>
      <c r="H3" s="19"/>
      <c r="I3" s="29" t="s">
        <v>4</v>
      </c>
      <c r="J3" s="41" t="str">
        <f>IF(ISBLANK(B6),"",SUM(E12:E37,'Term While Continuing'!O4:O38,E6:E8))</f>
        <v/>
      </c>
      <c r="K3" s="19"/>
      <c r="L3" s="19"/>
      <c r="M3" s="16">
        <f>IF(ISBLANK(B8),IF(ISBLANK(B7),B6,B7),B8)</f>
        <v>0</v>
      </c>
      <c r="N3" s="19"/>
      <c r="O3" s="19"/>
      <c r="P3" s="4"/>
    </row>
    <row r="4" spans="1:16" ht="18" customHeight="1" x14ac:dyDescent="0.35">
      <c r="A4" s="47" t="s">
        <v>5</v>
      </c>
      <c r="B4" s="47"/>
      <c r="C4" s="47"/>
      <c r="D4" s="18"/>
      <c r="E4" s="19"/>
      <c r="F4" s="19"/>
      <c r="G4" s="19"/>
      <c r="H4" s="19"/>
      <c r="I4" s="19"/>
      <c r="J4" s="19"/>
      <c r="K4" s="19"/>
      <c r="L4" s="19"/>
      <c r="M4" s="19"/>
      <c r="N4" s="19"/>
      <c r="O4" s="19"/>
      <c r="P4" s="4"/>
    </row>
    <row r="5" spans="1:16" ht="31.5" x14ac:dyDescent="0.35">
      <c r="A5" s="19"/>
      <c r="B5" s="35" t="s">
        <v>6</v>
      </c>
      <c r="C5" s="35" t="s">
        <v>7</v>
      </c>
      <c r="D5" s="38" t="s">
        <v>28</v>
      </c>
      <c r="E5" s="20" t="s">
        <v>2</v>
      </c>
      <c r="F5" s="19"/>
      <c r="G5" s="19"/>
      <c r="H5" s="19"/>
      <c r="I5" s="21" t="s">
        <v>3</v>
      </c>
      <c r="J5" s="21"/>
      <c r="K5" s="19"/>
      <c r="L5" s="19"/>
      <c r="M5" s="19"/>
      <c r="N5" s="19"/>
      <c r="O5" s="19"/>
      <c r="P5" s="4"/>
    </row>
    <row r="6" spans="1:16" x14ac:dyDescent="0.25">
      <c r="A6" s="19"/>
      <c r="B6" s="6"/>
      <c r="C6" s="6"/>
      <c r="D6" s="51"/>
      <c r="E6" s="24" t="str">
        <f>IF(ISBLANK(B6),"",(1+C6-B6)*D6 /365.25)</f>
        <v/>
      </c>
      <c r="F6" s="19"/>
      <c r="G6" s="19"/>
      <c r="H6" s="19"/>
      <c r="I6" s="23"/>
      <c r="J6" s="23"/>
      <c r="K6" s="19"/>
      <c r="L6" s="19"/>
      <c r="M6" s="19"/>
      <c r="N6" s="19"/>
      <c r="O6" s="19"/>
      <c r="P6" s="4"/>
    </row>
    <row r="7" spans="1:16" x14ac:dyDescent="0.25">
      <c r="A7" s="19"/>
      <c r="B7" s="6"/>
      <c r="C7" s="6"/>
      <c r="D7" s="52"/>
      <c r="E7" s="24" t="str">
        <f>IF(ISBLANK(B7),"",(1+C7-B7)*D7 /365.25)</f>
        <v/>
      </c>
      <c r="F7" s="19"/>
      <c r="G7" s="19"/>
      <c r="H7" s="19"/>
      <c r="I7" s="23" t="str">
        <f>IF(ISBLANK(C7),"",IF(C7&lt;B6-1,"Dates should be continuous",IF(C7&gt;=B6,"Dates should not overlap","")))</f>
        <v/>
      </c>
      <c r="J7" s="23"/>
      <c r="K7" s="19"/>
      <c r="L7" s="19"/>
      <c r="M7" s="19"/>
      <c r="N7" s="19"/>
      <c r="O7" s="19"/>
      <c r="P7" s="4"/>
    </row>
    <row r="8" spans="1:16" x14ac:dyDescent="0.25">
      <c r="A8" s="19"/>
      <c r="B8" s="6"/>
      <c r="C8" s="6"/>
      <c r="D8" s="52"/>
      <c r="E8" s="24" t="str">
        <f>IF(ISBLANK(B8),"",(1+C8-B8)*D8 /365.25)</f>
        <v/>
      </c>
      <c r="F8" s="19"/>
      <c r="G8" s="19"/>
      <c r="H8" s="19"/>
      <c r="I8" s="23" t="str">
        <f>IF(ISBLANK(C8),"",IF(C8&lt;B7-1,"Dates should be continuous",IF(C8&gt;=B7,"Dates should not overlap","")))</f>
        <v/>
      </c>
      <c r="J8" s="23"/>
      <c r="K8" s="19"/>
      <c r="L8" s="19"/>
      <c r="M8" s="19"/>
      <c r="N8" s="19"/>
      <c r="O8" s="19"/>
      <c r="P8" s="4"/>
    </row>
    <row r="9" spans="1:16" x14ac:dyDescent="0.25">
      <c r="A9" s="26"/>
      <c r="B9" s="30"/>
      <c r="C9" s="30"/>
      <c r="D9" s="26"/>
      <c r="E9" s="31"/>
      <c r="F9" s="26"/>
      <c r="G9" s="26">
        <f>IF(ISBLANK(C9),0,IF(AND(C9&gt;#REF!,D9+#REF!&gt;1),1,IF(AND(C9&gt;=B$6,D9+D$6&gt;1),1,0)))</f>
        <v>0</v>
      </c>
      <c r="H9" s="26"/>
      <c r="I9" s="26" t="str">
        <f>IF(ISBLANK(B9),"",IF(B9&gt;#REF!,"Sequence Error",""))</f>
        <v/>
      </c>
      <c r="J9" s="26" t="str">
        <f t="shared" ref="J9" si="0">IF(OR(G9=1, AND(C9&gt;O$1,D9+D$6 &gt;1)),"possible overload","")</f>
        <v/>
      </c>
      <c r="K9" s="26"/>
      <c r="L9" s="26"/>
      <c r="M9" s="26"/>
      <c r="N9" s="26"/>
      <c r="O9" s="26"/>
      <c r="P9" s="4"/>
    </row>
    <row r="10" spans="1:16" ht="21" x14ac:dyDescent="0.35">
      <c r="A10" s="46" t="s">
        <v>8</v>
      </c>
      <c r="B10" s="46"/>
      <c r="C10" s="46"/>
      <c r="D10" s="46"/>
      <c r="E10" s="22"/>
      <c r="F10" s="19"/>
      <c r="G10" s="19"/>
      <c r="H10" s="19"/>
      <c r="I10" s="21" t="s">
        <v>3</v>
      </c>
      <c r="J10" s="19"/>
      <c r="K10" s="19"/>
      <c r="L10" s="19"/>
      <c r="M10" s="19"/>
      <c r="N10" s="19"/>
      <c r="O10" s="19"/>
      <c r="P10" s="4"/>
    </row>
    <row r="11" spans="1:16" ht="30" x14ac:dyDescent="0.25">
      <c r="A11" s="19"/>
      <c r="B11" s="36" t="s">
        <v>6</v>
      </c>
      <c r="C11" s="36" t="s">
        <v>7</v>
      </c>
      <c r="D11" s="38" t="s">
        <v>28</v>
      </c>
      <c r="E11" s="20" t="s">
        <v>2</v>
      </c>
      <c r="F11" s="19"/>
      <c r="G11" s="19" t="e">
        <f t="shared" ref="G11:G37" si="1">IF(ISBLANK(C11),0,IF(AND(C11&gt;B10,D11+D10&gt;1),1,IF(AND(C11&gt;=B$6,D11+D$6&gt;1),1,0)))</f>
        <v>#VALUE!</v>
      </c>
      <c r="H11" s="19"/>
      <c r="I11" s="19"/>
      <c r="J11" s="19"/>
      <c r="K11" s="19"/>
      <c r="L11" s="19"/>
      <c r="M11" s="19"/>
      <c r="N11" s="19"/>
      <c r="O11" s="19"/>
      <c r="P11" s="4"/>
    </row>
    <row r="12" spans="1:16" x14ac:dyDescent="0.25">
      <c r="A12" s="19"/>
      <c r="B12" s="17"/>
      <c r="C12" s="17"/>
      <c r="D12" s="53"/>
      <c r="E12" s="14" t="str">
        <f>IF(ISBLANK(C12),"",NETWORKDAYS.INTL(B12,C12)*D12*1.2/260.89)</f>
        <v/>
      </c>
      <c r="F12" s="19"/>
      <c r="G12" s="19"/>
      <c r="H12" s="19"/>
      <c r="I12" s="22" t="str">
        <f t="shared" ref="I12:I37" si="2">IF(C12&gt;M$3, "term contract while continuing","")</f>
        <v/>
      </c>
      <c r="J12" s="19"/>
      <c r="K12" s="19"/>
      <c r="L12" s="19"/>
      <c r="M12" s="19"/>
      <c r="N12" s="19"/>
      <c r="O12" s="19"/>
      <c r="P12" s="4"/>
    </row>
    <row r="13" spans="1:16" x14ac:dyDescent="0.25">
      <c r="A13" s="19"/>
      <c r="B13" s="7"/>
      <c r="C13" s="7"/>
      <c r="D13" s="54"/>
      <c r="E13" s="14" t="str">
        <f>IF(ISBLANK(C13),"",NETWORKDAYS.INTL(B13,C13)*D13*1.2/260.89)</f>
        <v/>
      </c>
      <c r="F13" s="22"/>
      <c r="G13" s="19">
        <f>IF(ISBLANK(C13),0,IF(AND(C13&gt;B11,D13+D11&gt;1),1,IF(AND(C13&gt;=B$6,D13+D$6&gt;1),1,0)))</f>
        <v>0</v>
      </c>
      <c r="H13" s="19"/>
      <c r="I13" s="22" t="str">
        <f t="shared" si="2"/>
        <v/>
      </c>
      <c r="J13" s="19"/>
      <c r="K13" s="19"/>
      <c r="L13" s="19"/>
      <c r="M13" s="22"/>
      <c r="N13" s="19"/>
      <c r="O13" s="19"/>
      <c r="P13" s="4"/>
    </row>
    <row r="14" spans="1:16" x14ac:dyDescent="0.25">
      <c r="A14" s="19"/>
      <c r="B14" s="7"/>
      <c r="C14" s="7"/>
      <c r="D14" s="55"/>
      <c r="E14" s="24" t="str">
        <f t="shared" ref="E14:E20" si="3">IF(ISBLANK(C14),"",NETWORKDAYS.INTL(B14,C14)*MIN(1,D14)*1.2/260.89)</f>
        <v/>
      </c>
      <c r="F14" s="22"/>
      <c r="G14" s="19">
        <f>IF(ISBLANK(C14),0,IF(AND(C14&gt;B13,D14+D13&gt;1),1,IF(AND(C14&gt;=B$6,D14+D$6&gt;1),1,0)))</f>
        <v>0</v>
      </c>
      <c r="H14" s="19"/>
      <c r="I14" s="22" t="str">
        <f t="shared" si="2"/>
        <v/>
      </c>
      <c r="J14" s="19"/>
      <c r="K14" s="19"/>
      <c r="L14" s="19"/>
      <c r="M14" s="22"/>
      <c r="N14" s="19"/>
      <c r="O14" s="19"/>
      <c r="P14" s="4"/>
    </row>
    <row r="15" spans="1:16" x14ac:dyDescent="0.25">
      <c r="A15" s="19"/>
      <c r="B15" s="7"/>
      <c r="C15" s="7"/>
      <c r="D15" s="55"/>
      <c r="E15" s="24" t="str">
        <f t="shared" si="3"/>
        <v/>
      </c>
      <c r="F15" s="22"/>
      <c r="G15" s="19">
        <f>IF(ISBLANK(C15),0,IF(AND(C15&gt;B14,D15+D14&gt;1),1,IF(AND(C15&gt;=B$6,D15+D$6&gt;1),1,0)))</f>
        <v>0</v>
      </c>
      <c r="H15" s="19"/>
      <c r="I15" s="22" t="str">
        <f t="shared" si="2"/>
        <v/>
      </c>
      <c r="J15" s="19"/>
      <c r="K15" s="19"/>
      <c r="L15" s="19"/>
      <c r="M15" s="22"/>
      <c r="N15" s="19"/>
      <c r="O15" s="19"/>
      <c r="P15" s="4"/>
    </row>
    <row r="16" spans="1:16" x14ac:dyDescent="0.25">
      <c r="A16" s="19"/>
      <c r="B16" s="7"/>
      <c r="C16" s="7"/>
      <c r="D16" s="55"/>
      <c r="E16" s="24" t="str">
        <f t="shared" si="3"/>
        <v/>
      </c>
      <c r="F16" s="22"/>
      <c r="G16" s="19">
        <f>IF(ISBLANK(C16),0,IF(AND(C16&gt;B15,D16+D15&gt;1),1,IF(AND(C16&gt;=B$6,D16+D$6&gt;1),1,0)))</f>
        <v>0</v>
      </c>
      <c r="H16" s="19"/>
      <c r="I16" s="22" t="str">
        <f t="shared" si="2"/>
        <v/>
      </c>
      <c r="J16" s="19"/>
      <c r="K16" s="19"/>
      <c r="L16" s="19"/>
      <c r="M16" s="22"/>
      <c r="N16" s="19"/>
      <c r="O16" s="19"/>
      <c r="P16" s="4"/>
    </row>
    <row r="17" spans="1:16" x14ac:dyDescent="0.25">
      <c r="A17" s="19"/>
      <c r="B17" s="7"/>
      <c r="C17" s="7"/>
      <c r="D17" s="55"/>
      <c r="E17" s="24" t="str">
        <f t="shared" si="3"/>
        <v/>
      </c>
      <c r="F17" s="22"/>
      <c r="G17" s="19">
        <f>IF(ISBLANK(C17),0,IF(AND(C17&gt;B16,D17+D16&gt;1),1,IF(AND(C17&gt;=B$6,D17+D$6&gt;1),1,0)))</f>
        <v>0</v>
      </c>
      <c r="H17" s="19"/>
      <c r="I17" s="22" t="str">
        <f t="shared" si="2"/>
        <v/>
      </c>
      <c r="J17" s="19"/>
      <c r="K17" s="19"/>
      <c r="L17" s="19"/>
      <c r="M17" s="22"/>
      <c r="N17" s="19"/>
      <c r="O17" s="19"/>
      <c r="P17" s="4"/>
    </row>
    <row r="18" spans="1:16" x14ac:dyDescent="0.25">
      <c r="A18" s="19"/>
      <c r="B18" s="7"/>
      <c r="C18" s="7"/>
      <c r="D18" s="55"/>
      <c r="E18" s="24" t="str">
        <f t="shared" si="3"/>
        <v/>
      </c>
      <c r="F18" s="22"/>
      <c r="G18" s="19">
        <f>IF(ISBLANK(C27),0,IF(AND(C27&gt;B17,D18+D17&gt;1),1,IF(AND(C27&gt;=B$6,D18+D$6&gt;1),1,0)))</f>
        <v>0</v>
      </c>
      <c r="H18" s="19"/>
      <c r="I18" s="22" t="str">
        <f t="shared" si="2"/>
        <v/>
      </c>
      <c r="J18" s="19"/>
      <c r="K18" s="19"/>
      <c r="L18" s="19"/>
      <c r="M18" s="19"/>
      <c r="N18" s="19"/>
      <c r="O18" s="19"/>
      <c r="P18" s="4"/>
    </row>
    <row r="19" spans="1:16" x14ac:dyDescent="0.25">
      <c r="A19" s="19"/>
      <c r="B19" s="7"/>
      <c r="C19" s="7"/>
      <c r="D19" s="55"/>
      <c r="E19" s="24" t="str">
        <f t="shared" si="3"/>
        <v/>
      </c>
      <c r="F19" s="22"/>
      <c r="G19" s="19">
        <f>IF(ISBLANK(C19),0,IF(AND(C19&gt;B27,D19+D18&gt;1),1,IF(AND(C19&gt;=B$6,D19+D$6&gt;1),1,0)))</f>
        <v>0</v>
      </c>
      <c r="H19" s="19"/>
      <c r="I19" s="22" t="str">
        <f t="shared" si="2"/>
        <v/>
      </c>
      <c r="J19" s="19"/>
      <c r="K19" s="19"/>
      <c r="L19" s="19"/>
      <c r="M19" s="22"/>
      <c r="N19" s="19"/>
      <c r="O19" s="19"/>
      <c r="P19" s="4"/>
    </row>
    <row r="20" spans="1:16" x14ac:dyDescent="0.25">
      <c r="A20" s="19"/>
      <c r="B20" s="7"/>
      <c r="C20" s="7"/>
      <c r="D20" s="55"/>
      <c r="E20" s="24" t="str">
        <f t="shared" si="3"/>
        <v/>
      </c>
      <c r="F20" s="22"/>
      <c r="G20" s="19">
        <f>IF(ISBLANK(C20),0,IF(AND(C20&gt;B19,D20+D19&gt;1),1,IF(AND(C20&gt;=B$6,D20+D$6&gt;1),1,0)))</f>
        <v>0</v>
      </c>
      <c r="H20" s="19"/>
      <c r="I20" s="22" t="str">
        <f t="shared" si="2"/>
        <v/>
      </c>
      <c r="J20" s="19"/>
      <c r="K20" s="19"/>
      <c r="L20" s="19"/>
      <c r="M20" s="19"/>
      <c r="N20" s="19"/>
      <c r="O20" s="19"/>
      <c r="P20" s="4"/>
    </row>
    <row r="21" spans="1:16" x14ac:dyDescent="0.25">
      <c r="A21" s="19"/>
      <c r="B21" s="7"/>
      <c r="C21" s="7"/>
      <c r="D21" s="55"/>
      <c r="E21" s="24" t="str">
        <f t="shared" ref="E21:E37" si="4">IF(ISBLANK(C21),"",NETWORKDAYS.INTL(B21,C21)*MIN(1,D21)*1.2/260.89)</f>
        <v/>
      </c>
      <c r="F21" s="22"/>
      <c r="G21" s="19">
        <f>IF(ISBLANK(C21),0,IF(AND(C21&gt;B20,D21+D20&gt;1),1,IF(AND(C21&gt;=B$6,D21+D$6&gt;1),1,0)))</f>
        <v>0</v>
      </c>
      <c r="H21" s="19"/>
      <c r="I21" s="22" t="str">
        <f t="shared" si="2"/>
        <v/>
      </c>
      <c r="J21" s="19"/>
      <c r="K21" s="19"/>
      <c r="L21" s="19"/>
      <c r="M21" s="19"/>
      <c r="N21" s="19"/>
      <c r="O21" s="19"/>
      <c r="P21" s="4"/>
    </row>
    <row r="22" spans="1:16" x14ac:dyDescent="0.25">
      <c r="A22" s="19"/>
      <c r="B22" s="7"/>
      <c r="C22" s="7"/>
      <c r="D22" s="55"/>
      <c r="E22" s="24" t="str">
        <f t="shared" si="4"/>
        <v/>
      </c>
      <c r="F22" s="22"/>
      <c r="G22" s="19">
        <f>IF(ISBLANK(C22),0,IF(AND(C22&gt;B21,D22+D21&gt;1),1,IF(AND(C22&gt;=B$6,D22+D$6&gt;1),1,0)))</f>
        <v>0</v>
      </c>
      <c r="H22" s="19"/>
      <c r="I22" s="22" t="str">
        <f t="shared" si="2"/>
        <v/>
      </c>
      <c r="J22" s="19"/>
      <c r="K22" s="19"/>
      <c r="L22" s="19"/>
      <c r="M22" s="22"/>
      <c r="N22" s="19"/>
      <c r="O22" s="19"/>
      <c r="P22" s="4"/>
    </row>
    <row r="23" spans="1:16" x14ac:dyDescent="0.25">
      <c r="A23" s="19"/>
      <c r="B23" s="7"/>
      <c r="C23" s="7"/>
      <c r="D23" s="55"/>
      <c r="E23" s="24" t="str">
        <f t="shared" si="4"/>
        <v/>
      </c>
      <c r="F23" s="22"/>
      <c r="G23" s="19">
        <f t="shared" si="1"/>
        <v>0</v>
      </c>
      <c r="H23" s="19"/>
      <c r="I23" s="22" t="str">
        <f t="shared" si="2"/>
        <v/>
      </c>
      <c r="J23" s="19"/>
      <c r="K23" s="19"/>
      <c r="L23" s="19"/>
      <c r="M23" s="19"/>
      <c r="N23" s="19"/>
      <c r="O23" s="19"/>
      <c r="P23" s="4"/>
    </row>
    <row r="24" spans="1:16" x14ac:dyDescent="0.25">
      <c r="A24" s="19"/>
      <c r="B24" s="7"/>
      <c r="C24" s="7"/>
      <c r="D24" s="55"/>
      <c r="E24" s="24" t="str">
        <f t="shared" si="4"/>
        <v/>
      </c>
      <c r="F24" s="19"/>
      <c r="G24" s="19">
        <f t="shared" si="1"/>
        <v>0</v>
      </c>
      <c r="H24" s="19"/>
      <c r="I24" s="22" t="str">
        <f t="shared" si="2"/>
        <v/>
      </c>
      <c r="J24" s="19"/>
      <c r="K24" s="19"/>
      <c r="L24" s="19"/>
      <c r="M24" s="19"/>
      <c r="N24" s="19"/>
      <c r="O24" s="19"/>
      <c r="P24" s="4"/>
    </row>
    <row r="25" spans="1:16" x14ac:dyDescent="0.25">
      <c r="A25" s="19"/>
      <c r="B25" s="7"/>
      <c r="C25" s="7"/>
      <c r="D25" s="55"/>
      <c r="E25" s="24" t="str">
        <f t="shared" si="4"/>
        <v/>
      </c>
      <c r="F25" s="19"/>
      <c r="G25" s="19">
        <f t="shared" si="1"/>
        <v>0</v>
      </c>
      <c r="H25" s="19"/>
      <c r="I25" s="22" t="str">
        <f t="shared" si="2"/>
        <v/>
      </c>
      <c r="J25" s="19"/>
      <c r="K25" s="19"/>
      <c r="L25" s="19"/>
      <c r="M25" s="19"/>
      <c r="N25" s="19"/>
      <c r="O25" s="19"/>
      <c r="P25" s="4"/>
    </row>
    <row r="26" spans="1:16" x14ac:dyDescent="0.25">
      <c r="A26" s="19"/>
      <c r="B26" s="7"/>
      <c r="C26" s="7"/>
      <c r="D26" s="55"/>
      <c r="E26" s="24" t="str">
        <f t="shared" si="4"/>
        <v/>
      </c>
      <c r="F26" s="19"/>
      <c r="G26" s="19">
        <f t="shared" si="1"/>
        <v>0</v>
      </c>
      <c r="H26" s="19"/>
      <c r="I26" s="22" t="str">
        <f t="shared" si="2"/>
        <v/>
      </c>
      <c r="J26" s="19"/>
      <c r="K26" s="19"/>
      <c r="L26" s="19"/>
      <c r="M26" s="19"/>
      <c r="N26" s="19"/>
      <c r="O26" s="19"/>
      <c r="P26" s="4"/>
    </row>
    <row r="27" spans="1:16" x14ac:dyDescent="0.25">
      <c r="A27" s="19"/>
      <c r="B27" s="7"/>
      <c r="C27" s="7"/>
      <c r="D27" s="55"/>
      <c r="E27" s="24" t="str">
        <f t="shared" si="4"/>
        <v/>
      </c>
      <c r="F27" s="19"/>
      <c r="G27" s="19" t="e">
        <f>IF(ISBLANK(#REF!),0,IF(AND(#REF!&gt;B26,D27+D26&gt;1),1,IF(AND(#REF!&gt;=B$6,D27+D$6&gt;1),1,0)))</f>
        <v>#REF!</v>
      </c>
      <c r="H27" s="19"/>
      <c r="I27" s="22" t="str">
        <f t="shared" si="2"/>
        <v/>
      </c>
      <c r="J27" s="19"/>
      <c r="K27" s="19"/>
      <c r="L27" s="19"/>
      <c r="M27" s="19"/>
      <c r="N27" s="19"/>
      <c r="O27" s="19"/>
      <c r="P27" s="4"/>
    </row>
    <row r="28" spans="1:16" x14ac:dyDescent="0.25">
      <c r="A28" s="19"/>
      <c r="B28" s="7"/>
      <c r="C28" s="7"/>
      <c r="D28" s="55"/>
      <c r="E28" s="24" t="str">
        <f t="shared" si="4"/>
        <v/>
      </c>
      <c r="F28" s="19"/>
      <c r="G28" s="19">
        <f>IF(ISBLANK(C28),0,IF(AND(C28&gt;#REF!,D28+D27&gt;1),1,IF(AND(C28&gt;=B$6,D28+D$6&gt;1),1,0)))</f>
        <v>0</v>
      </c>
      <c r="H28" s="19"/>
      <c r="I28" s="22" t="str">
        <f t="shared" si="2"/>
        <v/>
      </c>
      <c r="J28" s="19"/>
      <c r="K28" s="19"/>
      <c r="L28" s="19"/>
      <c r="M28" s="19"/>
      <c r="N28" s="19"/>
      <c r="O28" s="19"/>
      <c r="P28" s="4"/>
    </row>
    <row r="29" spans="1:16" x14ac:dyDescent="0.25">
      <c r="A29" s="16"/>
      <c r="B29" s="7"/>
      <c r="C29" s="8"/>
      <c r="D29" s="55"/>
      <c r="E29" s="24" t="str">
        <f t="shared" si="4"/>
        <v/>
      </c>
      <c r="F29" s="19"/>
      <c r="G29" s="19">
        <f t="shared" si="1"/>
        <v>0</v>
      </c>
      <c r="H29" s="19"/>
      <c r="I29" s="22" t="str">
        <f t="shared" si="2"/>
        <v/>
      </c>
      <c r="J29" s="19"/>
      <c r="K29" s="19"/>
      <c r="L29" s="19"/>
      <c r="M29" s="19"/>
      <c r="N29" s="19"/>
      <c r="O29" s="19"/>
      <c r="P29" s="4"/>
    </row>
    <row r="30" spans="1:16" x14ac:dyDescent="0.25">
      <c r="A30" s="16"/>
      <c r="B30" s="7"/>
      <c r="C30" s="7"/>
      <c r="D30" s="55"/>
      <c r="E30" s="24" t="str">
        <f t="shared" si="4"/>
        <v/>
      </c>
      <c r="F30" s="19"/>
      <c r="G30" s="19">
        <f t="shared" si="1"/>
        <v>0</v>
      </c>
      <c r="H30" s="19"/>
      <c r="I30" s="22" t="str">
        <f t="shared" si="2"/>
        <v/>
      </c>
      <c r="J30" s="19"/>
      <c r="K30" s="19"/>
      <c r="L30" s="19"/>
      <c r="M30" s="19"/>
      <c r="N30" s="19"/>
      <c r="O30" s="19"/>
      <c r="P30" s="4"/>
    </row>
    <row r="31" spans="1:16" x14ac:dyDescent="0.25">
      <c r="A31" s="16"/>
      <c r="B31" s="7"/>
      <c r="C31" s="8"/>
      <c r="D31" s="55"/>
      <c r="E31" s="24" t="str">
        <f t="shared" si="4"/>
        <v/>
      </c>
      <c r="F31" s="19"/>
      <c r="G31" s="19">
        <f t="shared" si="1"/>
        <v>0</v>
      </c>
      <c r="H31" s="19"/>
      <c r="I31" s="22" t="str">
        <f t="shared" si="2"/>
        <v/>
      </c>
      <c r="J31" s="19"/>
      <c r="K31" s="19"/>
      <c r="L31" s="19"/>
      <c r="M31" s="19"/>
      <c r="N31" s="19"/>
      <c r="O31" s="19"/>
      <c r="P31" s="4"/>
    </row>
    <row r="32" spans="1:16" x14ac:dyDescent="0.25">
      <c r="A32" s="16"/>
      <c r="B32" s="7"/>
      <c r="C32" s="8"/>
      <c r="D32" s="55"/>
      <c r="E32" s="24" t="str">
        <f t="shared" si="4"/>
        <v/>
      </c>
      <c r="F32" s="19"/>
      <c r="G32" s="19">
        <f t="shared" si="1"/>
        <v>0</v>
      </c>
      <c r="H32" s="19"/>
      <c r="I32" s="22" t="str">
        <f t="shared" si="2"/>
        <v/>
      </c>
      <c r="J32" s="19"/>
      <c r="K32" s="19"/>
      <c r="L32" s="19"/>
      <c r="M32" s="19"/>
      <c r="N32" s="19"/>
      <c r="O32" s="19"/>
      <c r="P32" s="4"/>
    </row>
    <row r="33" spans="1:16" x14ac:dyDescent="0.25">
      <c r="A33" s="16"/>
      <c r="B33" s="7"/>
      <c r="C33" s="8"/>
      <c r="D33" s="55"/>
      <c r="E33" s="24" t="str">
        <f t="shared" si="4"/>
        <v/>
      </c>
      <c r="F33" s="19"/>
      <c r="G33" s="19">
        <f t="shared" si="1"/>
        <v>0</v>
      </c>
      <c r="H33" s="19"/>
      <c r="I33" s="22" t="str">
        <f t="shared" si="2"/>
        <v/>
      </c>
      <c r="J33" s="19"/>
      <c r="K33" s="19"/>
      <c r="L33" s="19"/>
      <c r="M33" s="19"/>
      <c r="N33" s="19"/>
      <c r="O33" s="19"/>
      <c r="P33" s="4"/>
    </row>
    <row r="34" spans="1:16" x14ac:dyDescent="0.25">
      <c r="A34" s="16"/>
      <c r="B34" s="7"/>
      <c r="C34" s="8"/>
      <c r="D34" s="55"/>
      <c r="E34" s="24" t="str">
        <f t="shared" si="4"/>
        <v/>
      </c>
      <c r="F34" s="19"/>
      <c r="G34" s="19">
        <f t="shared" si="1"/>
        <v>0</v>
      </c>
      <c r="H34" s="19"/>
      <c r="I34" s="22" t="str">
        <f t="shared" si="2"/>
        <v/>
      </c>
      <c r="J34" s="19"/>
      <c r="K34" s="19"/>
      <c r="L34" s="19"/>
      <c r="M34" s="19"/>
      <c r="N34" s="19"/>
      <c r="O34" s="19"/>
      <c r="P34" s="4"/>
    </row>
    <row r="35" spans="1:16" x14ac:dyDescent="0.25">
      <c r="A35" s="16"/>
      <c r="B35" s="7"/>
      <c r="C35" s="8"/>
      <c r="D35" s="55"/>
      <c r="E35" s="24" t="str">
        <f t="shared" si="4"/>
        <v/>
      </c>
      <c r="F35" s="19"/>
      <c r="G35" s="19">
        <f t="shared" si="1"/>
        <v>0</v>
      </c>
      <c r="H35" s="19"/>
      <c r="I35" s="22" t="str">
        <f t="shared" si="2"/>
        <v/>
      </c>
      <c r="J35" s="19"/>
      <c r="K35" s="19"/>
      <c r="L35" s="19"/>
      <c r="M35" s="19"/>
      <c r="N35" s="19"/>
      <c r="O35" s="19"/>
      <c r="P35" s="4"/>
    </row>
    <row r="36" spans="1:16" x14ac:dyDescent="0.25">
      <c r="A36" s="16"/>
      <c r="B36" s="7"/>
      <c r="C36" s="8"/>
      <c r="D36" s="55"/>
      <c r="E36" s="24" t="str">
        <f t="shared" si="4"/>
        <v/>
      </c>
      <c r="F36" s="19"/>
      <c r="G36" s="19">
        <f t="shared" si="1"/>
        <v>0</v>
      </c>
      <c r="H36" s="19"/>
      <c r="I36" s="22" t="str">
        <f t="shared" si="2"/>
        <v/>
      </c>
      <c r="J36" s="19"/>
      <c r="K36" s="19"/>
      <c r="L36" s="19"/>
      <c r="M36" s="19"/>
      <c r="N36" s="19"/>
      <c r="O36" s="19"/>
      <c r="P36" s="4"/>
    </row>
    <row r="37" spans="1:16" x14ac:dyDescent="0.25">
      <c r="A37" s="16"/>
      <c r="B37" s="7"/>
      <c r="C37" s="8"/>
      <c r="D37" s="55"/>
      <c r="E37" s="24" t="str">
        <f t="shared" si="4"/>
        <v/>
      </c>
      <c r="F37" s="19"/>
      <c r="G37" s="19">
        <f t="shared" si="1"/>
        <v>0</v>
      </c>
      <c r="H37" s="19"/>
      <c r="I37" s="22" t="str">
        <f t="shared" si="2"/>
        <v/>
      </c>
      <c r="J37" s="19"/>
      <c r="K37" s="19"/>
      <c r="L37" s="19"/>
      <c r="M37" s="19"/>
      <c r="N37" s="19"/>
      <c r="O37" s="19"/>
      <c r="P37" s="4"/>
    </row>
    <row r="38" spans="1:16" x14ac:dyDescent="0.25">
      <c r="A38" s="3"/>
      <c r="B38" s="3"/>
      <c r="C38" s="4"/>
      <c r="D38" s="5"/>
      <c r="E38" s="4"/>
      <c r="F38" s="10"/>
      <c r="G38" s="10"/>
      <c r="H38" s="10"/>
      <c r="I38" s="4"/>
      <c r="J38" s="4"/>
      <c r="K38" s="10"/>
      <c r="L38" s="10"/>
      <c r="M38" s="10"/>
      <c r="N38" s="10"/>
      <c r="O38" s="10"/>
      <c r="P38" s="4"/>
    </row>
  </sheetData>
  <sheetProtection algorithmName="SHA-512" hashValue="0CZffODz6EP849mq+u3rGKXu1O975LsI8V3uEFvMZL+nzBMjNY5nryJUXzw3MnztrFwRLU6zZ6r7uhX/eVgz/g==" saltValue="osDEHe/FJXNAHEruZUngDA==" spinCount="100000" sheet="1" selectLockedCells="1"/>
  <mergeCells count="4">
    <mergeCell ref="A1:N2"/>
    <mergeCell ref="A10:D10"/>
    <mergeCell ref="A4:C4"/>
    <mergeCell ref="A3:D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649D3-AFA9-4E7F-A98D-D1DFED428437}">
  <sheetPr codeName="Sheet3"/>
  <dimension ref="A1:Z52"/>
  <sheetViews>
    <sheetView tabSelected="1" workbookViewId="0">
      <selection activeCell="E4" sqref="E4"/>
    </sheetView>
  </sheetViews>
  <sheetFormatPr defaultRowHeight="15" x14ac:dyDescent="0.25"/>
  <cols>
    <col min="2" max="2" width="12.42578125" customWidth="1"/>
    <col min="3" max="3" width="0.7109375" style="1" customWidth="1"/>
    <col min="4" max="4" width="12.28515625" customWidth="1"/>
    <col min="5" max="5" width="17.42578125" customWidth="1"/>
    <col min="6" max="6" width="11.5703125" style="14" customWidth="1"/>
    <col min="8" max="8" width="8.85546875" style="4"/>
    <col min="9" max="9" width="57.42578125" customWidth="1"/>
    <col min="10" max="10" width="8.85546875" style="4"/>
    <col min="11" max="11" width="13.28515625" style="4" customWidth="1"/>
    <col min="12" max="14" width="15.5703125" style="4" customWidth="1"/>
    <col min="15" max="15" width="9.5703125" style="4" customWidth="1"/>
    <col min="16" max="16" width="8.85546875" style="3" customWidth="1"/>
    <col min="17" max="17" width="12.5703125" style="4" customWidth="1"/>
    <col min="18" max="19" width="0.42578125" style="4" customWidth="1"/>
    <col min="20" max="20" width="0.28515625" style="4" customWidth="1"/>
    <col min="21" max="22" width="0.42578125" style="4" customWidth="1"/>
    <col min="23" max="23" width="0.28515625" style="4" customWidth="1"/>
    <col min="24" max="25" width="0.42578125" style="4" customWidth="1"/>
    <col min="26" max="26" width="8.7109375" style="4"/>
  </cols>
  <sheetData>
    <row r="1" spans="1:26" ht="21" x14ac:dyDescent="0.35">
      <c r="A1" s="49" t="s">
        <v>12</v>
      </c>
      <c r="B1" s="49"/>
      <c r="C1" s="49"/>
      <c r="D1" s="49"/>
      <c r="E1" s="49"/>
      <c r="F1" s="49"/>
      <c r="G1" s="49"/>
      <c r="H1" s="25"/>
      <c r="I1" s="50" t="s">
        <v>3</v>
      </c>
      <c r="J1" s="26"/>
      <c r="K1" s="48" t="s">
        <v>13</v>
      </c>
      <c r="L1" s="48"/>
      <c r="M1" s="48"/>
      <c r="N1" s="48"/>
      <c r="O1" s="48"/>
      <c r="P1" s="57"/>
      <c r="Q1" s="10"/>
      <c r="R1" s="33"/>
      <c r="S1" s="10"/>
      <c r="T1" s="10"/>
      <c r="U1" s="10"/>
      <c r="V1" s="10"/>
      <c r="W1" s="10"/>
      <c r="X1" s="10"/>
      <c r="Y1" s="10"/>
      <c r="Z1" s="10"/>
    </row>
    <row r="2" spans="1:26" ht="31.7" customHeight="1" x14ac:dyDescent="0.25">
      <c r="A2" s="49"/>
      <c r="B2" s="49"/>
      <c r="C2" s="49"/>
      <c r="D2" s="49"/>
      <c r="E2" s="49"/>
      <c r="F2" s="49"/>
      <c r="G2" s="49"/>
      <c r="H2" s="27"/>
      <c r="I2" s="50"/>
      <c r="J2" s="26"/>
      <c r="K2" s="48"/>
      <c r="L2" s="48"/>
      <c r="M2" s="48"/>
      <c r="N2" s="48"/>
      <c r="O2" s="48"/>
      <c r="P2" s="57"/>
      <c r="Q2" s="10"/>
      <c r="R2" s="10"/>
      <c r="S2" s="10"/>
      <c r="T2" s="10"/>
      <c r="U2" s="10"/>
      <c r="V2" s="10"/>
      <c r="W2" s="10"/>
      <c r="X2" s="10"/>
      <c r="Y2" s="10"/>
      <c r="Z2" s="10"/>
    </row>
    <row r="3" spans="1:26" ht="30.95" customHeight="1" x14ac:dyDescent="0.25">
      <c r="A3" s="19"/>
      <c r="B3" s="35" t="s">
        <v>6</v>
      </c>
      <c r="C3" s="37"/>
      <c r="D3" s="36" t="s">
        <v>30</v>
      </c>
      <c r="E3" s="38" t="s">
        <v>29</v>
      </c>
      <c r="F3" s="32" t="s">
        <v>2</v>
      </c>
      <c r="G3" s="19"/>
      <c r="H3" s="26"/>
      <c r="I3" s="28"/>
      <c r="J3" s="26"/>
      <c r="K3" s="10" t="s">
        <v>9</v>
      </c>
      <c r="L3" s="10" t="s">
        <v>10</v>
      </c>
      <c r="M3" s="58" t="s">
        <v>11</v>
      </c>
      <c r="N3" s="10"/>
      <c r="O3" s="58" t="s">
        <v>22</v>
      </c>
      <c r="P3" s="57"/>
      <c r="Q3" s="58" t="s">
        <v>14</v>
      </c>
      <c r="R3" s="34"/>
      <c r="S3" s="10" t="s">
        <v>21</v>
      </c>
      <c r="T3" s="10" t="s">
        <v>15</v>
      </c>
      <c r="U3" s="10" t="s">
        <v>16</v>
      </c>
      <c r="V3" s="10" t="s">
        <v>17</v>
      </c>
      <c r="W3" s="10" t="s">
        <v>18</v>
      </c>
      <c r="X3" s="10" t="s">
        <v>19</v>
      </c>
      <c r="Y3" s="10" t="s">
        <v>20</v>
      </c>
      <c r="Z3" s="10"/>
    </row>
    <row r="4" spans="1:26" x14ac:dyDescent="0.25">
      <c r="A4" s="19"/>
      <c r="B4" s="7"/>
      <c r="C4" s="16" t="str">
        <f>IF(ISBLANK(D4),"",IF(D4&gt;Seniority!C$6,Seniority!C$6,D4))</f>
        <v/>
      </c>
      <c r="D4" s="7"/>
      <c r="E4" s="51"/>
      <c r="F4" s="24">
        <f>IF(ISBLANK(D4),0,E4*NETWORKDAYS.INTL(B4,C4)*1.2/260.89)</f>
        <v>0</v>
      </c>
      <c r="G4" s="19"/>
      <c r="H4" s="26"/>
      <c r="I4" s="19" t="str">
        <f>IF(ISBLANK(B4),"",IF(B4&lt;Seniority!M$3,"Term work done while not continuing - put in Seniority sheet",IF(D4&gt;Seniority!C$6,"Note - end date post dates seniority date",IF(AND(B4&lt;DATE(YEAR(B4),8,25), C4&gt;=DATE(YEAR(B4),8,25)),"Please split into two contracts - one ending on Aug 24","")   )))</f>
        <v/>
      </c>
      <c r="J4" s="26"/>
      <c r="K4" s="57">
        <f>IF(MONTH(L4)&gt;=8,DATE(YEAR(L4),8,25),DATE(YEAR(L4)-1,8,25))</f>
        <v>693834</v>
      </c>
      <c r="L4" s="57">
        <f>Seniority!C6</f>
        <v>0</v>
      </c>
      <c r="M4" s="59" cm="1">
        <f t="array" ref="M4">SUMPRODUCT((B$4:B$49&gt;=K4)*(C$4:C$49&lt;=L4)*F$4:F$49)</f>
        <v>0</v>
      </c>
      <c r="N4" s="10"/>
      <c r="O4" s="59">
        <f>MIN(M4,((1+L4-K4)/(365+(MOD(YEAR(K4),4)=3))-Seniority!D6*Q4)*1.2)</f>
        <v>-2274.8622950819672</v>
      </c>
      <c r="P4" s="57"/>
      <c r="Q4" s="59">
        <f>IF(K4&gt;Seniority!B$6,    Seniority!D$6*(1+L4-K4)/(365+(MOD(YEAR(K4),4)=3)),            (1+L4-Seniority!B6)/(365+(MOD(YEAR(B4),4)=3)))</f>
        <v>0</v>
      </c>
      <c r="R4" s="10"/>
      <c r="S4" s="10" t="b">
        <f>AND(K4&lt;Seniority!B$6,L4&gt;=Seniority!B$6)</f>
        <v>0</v>
      </c>
      <c r="T4" s="10" t="b">
        <f>K4&gt;Seniority!B$6</f>
        <v>1</v>
      </c>
      <c r="U4" s="10" t="b">
        <f>AND(NOT(T4),IF(ISBLANK(Seniority!B$7),1=0,AND(L4 &gt;= Seniority!B$6,K4 &gt;=Seniority!B$7)))</f>
        <v>0</v>
      </c>
      <c r="V4" s="10" t="b">
        <f ca="1">AND(L4&lt;=Seniority!C$7,K4&gt;=Seniority!B$7,NOT(ISBLANK(Seniority(B$5))))</f>
        <v>1</v>
      </c>
      <c r="W4" s="10" t="b">
        <f ca="1">AND(NOT(ISBLANK(Seniority!B$8)),NOT(T4),NOT(V4),AND(L4&gt;=Seniority!B$7,K4&lt;=Seniority!C$8))</f>
        <v>0</v>
      </c>
      <c r="X4" s="10" t="b">
        <f>AND(NOT(ISBLANK(Seniority!B$8)),L4&lt;=Seniority!C$8,K4&gt;=Seniority!B$8)</f>
        <v>0</v>
      </c>
      <c r="Y4" s="10" t="b">
        <f>AND(NOT(ISBLANK(Seniority!B$8)),L4&gt;=Seniority!B$8,K4&lt;Seniority!B$8,Seniority!C$8&gt;=L4)</f>
        <v>0</v>
      </c>
      <c r="Z4" s="10"/>
    </row>
    <row r="5" spans="1:26" x14ac:dyDescent="0.25">
      <c r="A5" s="19"/>
      <c r="B5" s="7"/>
      <c r="C5" s="16" t="str">
        <f>IF(ISBLANK(D5),"",IF(D5&gt;Seniority!C$6,Seniority!C$6,D5))</f>
        <v/>
      </c>
      <c r="D5" s="7"/>
      <c r="E5" s="56"/>
      <c r="F5" s="24">
        <f t="shared" ref="F5:F38" si="0">IF(ISBLANK(D5),0,E5*NETWORKDAYS.INTL(B5,C5)*1.2/260.89)</f>
        <v>0</v>
      </c>
      <c r="G5" s="19"/>
      <c r="H5" s="26"/>
      <c r="I5" s="19" t="str">
        <f>IF(ISBLANK(B5),"",IF(B5&lt;Seniority!M$3,"Term work done while not continuing - put in Seniority sheet",IF(D5&gt;Seniority!C$6,"Note - end date post dates seniority date",IF(AND(B5&lt;DATE(YEAR(B5),8,25), C5&gt;=DATE(YEAR(B5),8,25)),"Please split into two contracts - one ending on Aug 24","")   )))</f>
        <v/>
      </c>
      <c r="J5" s="26"/>
      <c r="K5" s="57">
        <f>DATE(YEAR(K4)-1,8,25)</f>
        <v>693469</v>
      </c>
      <c r="L5" s="57">
        <f>K4-1</f>
        <v>693833</v>
      </c>
      <c r="M5" s="60" cm="1">
        <f t="array" ref="M5">SUMPRODUCT((B$4:B$49&gt;=K5)*(C$4:C$49&lt;=L5)*F$4:F$49)</f>
        <v>0</v>
      </c>
      <c r="N5" s="10"/>
      <c r="O5" s="59">
        <f t="shared" ref="O5:O14" si="1">MIN(M5, (1+L5-K5)/(365+(MOD(YEAR(K5),4)=3))-Q5)</f>
        <v>0</v>
      </c>
      <c r="P5" s="57"/>
      <c r="Q5" s="59">
        <f>IF(T5, Seniority!D$6,     IF(U5, ((1+L5-Seniority!B$6)*Seniority!D$6 + (1+Seniority!C$7-K5)*Seniority!D$7)/(365+(MOD(YEAR(K5),4)=3)),       IF(V5, Seniority!D$7,          IF(W5, ((1+L5-Seniority!B$7)*Seniority!D$7 + (1+Seniority!C$8-K5)*Seniority!D$8)/(365+(MOD(YEAR(K5),4)=3)),   IF(X5,Seniority!D$8,  IF(Y5, Seniority!D$8*(L5-Seniority!B$8)/(365+(MOD(YEAR(K5),4)=3)),                     IF(S5,(1+L5-Seniority!B$6)*Seniority!D$6/ (365+(MOD(YEAR(K5),4)=3)),0        )) )))))</f>
        <v>0</v>
      </c>
      <c r="R5" s="10"/>
      <c r="S5" s="10" t="b">
        <f>AND(K5&lt;Seniority!B$6,L5&gt;=Seniority!B$6)</f>
        <v>0</v>
      </c>
      <c r="T5" s="10" t="b">
        <f>K5&gt;Seniority!B$6</f>
        <v>1</v>
      </c>
      <c r="U5" s="10" t="b">
        <f>AND(NOT(T5),IF(ISBLANK(Seniority!B$7),1=0,AND(L5 &gt;= Seniority!B$6,K5 &gt;=Seniority!B$7)))</f>
        <v>0</v>
      </c>
      <c r="V5" s="10" t="b">
        <f ca="1">AND(L5&lt;=Seniority!C$7,K5&gt;=Seniority!B$7,NOT(ISBLANK(Seniority(B$5))))</f>
        <v>0</v>
      </c>
      <c r="W5" s="10" t="b">
        <f ca="1">AND(NOT(ISBLANK(Seniority!B$8)),NOT(T5),NOT(V5),AND(L5&gt;=Seniority!B$7,K5&lt;=Seniority!C$8))</f>
        <v>0</v>
      </c>
      <c r="X5" s="10" t="b">
        <f>AND(NOT(ISBLANK(Seniority!B$8)),L5&lt;=Seniority!C$8,K5&gt;=Seniority!B$8)</f>
        <v>0</v>
      </c>
      <c r="Y5" s="10" t="b">
        <f>AND(NOT(ISBLANK(Seniority!B$8)),L5&gt;=Seniority!B$8,K5&lt;Seniority!B$8,Seniority!C$8&gt;=L5)</f>
        <v>0</v>
      </c>
      <c r="Z5" s="10"/>
    </row>
    <row r="6" spans="1:26" x14ac:dyDescent="0.25">
      <c r="A6" s="19"/>
      <c r="B6" s="7"/>
      <c r="C6" s="16" t="str">
        <f>IF(ISBLANK(D6),"",IF(D6&gt;Seniority!C$6,Seniority!C$6,D6))</f>
        <v/>
      </c>
      <c r="D6" s="7"/>
      <c r="E6" s="56"/>
      <c r="F6" s="24">
        <f t="shared" si="0"/>
        <v>0</v>
      </c>
      <c r="G6" s="19"/>
      <c r="H6" s="26"/>
      <c r="I6" s="19" t="str">
        <f>IF(ISBLANK(B6),"",IF(B6&lt;Seniority!M$3,"Term work done while not continuing - put in Seniority sheet",IF(D6&gt;Seniority!C$6,"Note - end date post dates seniority date",IF(AND(B6&lt;DATE(YEAR(B6),8,25), C6&gt;=DATE(YEAR(B6),8,25)),"Please split into two contracts - one ending on Aug 24","")   )))</f>
        <v/>
      </c>
      <c r="J6" s="26"/>
      <c r="K6" s="57">
        <f t="shared" ref="K6:K38" si="2">DATE(YEAR(K5)-1,8,25)</f>
        <v>693104</v>
      </c>
      <c r="L6" s="57">
        <f t="shared" ref="L6:L38" si="3">K5-1</f>
        <v>693468</v>
      </c>
      <c r="M6" s="60" cm="1">
        <f t="array" ref="M6">SUMPRODUCT((B$4:B$49&gt;=K6)*(C$4:C$49&lt;=L6)*F$4:F$49)</f>
        <v>0</v>
      </c>
      <c r="N6" s="10"/>
      <c r="O6" s="59">
        <f t="shared" si="1"/>
        <v>0</v>
      </c>
      <c r="P6" s="57"/>
      <c r="Q6" s="59">
        <f>IF(T6, Seniority!D$6,     IF(U6, ((1+L6-Seniority!B$6)*Seniority!D$6 + (1+Seniority!C$7-K6)*Seniority!D$7)/(365+(MOD(YEAR(K6),4)=3)),       IF(V6, Seniority!D$7,          IF(W6, ((1+L6-Seniority!B$7)*Seniority!D$7 + (1+Seniority!C$8-K6)*Seniority!D$8)/(365+(MOD(YEAR(K6),4)=3)),   IF(X6,Seniority!D$8,  IF(Y6, Seniority!D$8*(L6-Seniority!B$8)/(365+(MOD(YEAR(K6),4)=3)),                     IF(S6,(1+L6-Seniority!B$6)*Seniority!D$6/ (365+(MOD(YEAR(K6),4)=3)),0        )) )))))</f>
        <v>0</v>
      </c>
      <c r="R6" s="10"/>
      <c r="S6" s="10" t="b">
        <f>AND(K6&lt;Seniority!B$6,L6&gt;=Seniority!B$6)</f>
        <v>0</v>
      </c>
      <c r="T6" s="10" t="b">
        <f>K6&gt;Seniority!B$6</f>
        <v>1</v>
      </c>
      <c r="U6" s="10" t="b">
        <f>AND(NOT(T6),IF(ISBLANK(Seniority!B$7),1=0,AND(L6 &gt;= Seniority!B$6,K6 &gt;=Seniority!B$7)))</f>
        <v>0</v>
      </c>
      <c r="V6" s="10" t="b">
        <f ca="1">AND(L6&lt;=Seniority!C$7,K6&gt;=Seniority!B$7,NOT(ISBLANK(Seniority(B$5))))</f>
        <v>0</v>
      </c>
      <c r="W6" s="10" t="b">
        <f ca="1">AND(NOT(ISBLANK(Seniority!B$8)),NOT(T6),NOT(V6),AND(L6&gt;=Seniority!B$7,K6&lt;=Seniority!C$8))</f>
        <v>0</v>
      </c>
      <c r="X6" s="10" t="b">
        <f>AND(L6&lt;=Seniority!C$8,K6&gt;=Seniority!B$8)</f>
        <v>0</v>
      </c>
      <c r="Y6" s="10" t="b">
        <f>AND(NOT(ISBLANK(Seniority!B$8)),L6&gt;=Seniority!B$8,K6&lt;Seniority!B$8,Seniority!C$8&gt;=L6)</f>
        <v>0</v>
      </c>
      <c r="Z6" s="10"/>
    </row>
    <row r="7" spans="1:26" x14ac:dyDescent="0.25">
      <c r="A7" s="19"/>
      <c r="B7" s="7"/>
      <c r="C7" s="16" t="str">
        <f>IF(ISBLANK(D7),"",IF(D7&gt;Seniority!C$6,Seniority!C$6,D7))</f>
        <v/>
      </c>
      <c r="D7" s="7"/>
      <c r="E7" s="56"/>
      <c r="F7" s="24">
        <f t="shared" si="0"/>
        <v>0</v>
      </c>
      <c r="G7" s="19"/>
      <c r="H7" s="26"/>
      <c r="I7" s="19" t="str">
        <f>IF(ISBLANK(B7),"",IF(B7&lt;Seniority!M$3,"Term work done while not continuing - put in Seniority sheet",IF(D7&gt;Seniority!C$6,"Note - end date post dates seniority date",IF(AND(B7&lt;DATE(YEAR(B7),8,25), C7&gt;=DATE(YEAR(B7),8,25)),"Please split into two contracts - one ending on Aug 24","")   )))</f>
        <v/>
      </c>
      <c r="J7" s="26"/>
      <c r="K7" s="57">
        <f t="shared" si="2"/>
        <v>692739</v>
      </c>
      <c r="L7" s="57">
        <f t="shared" si="3"/>
        <v>693103</v>
      </c>
      <c r="M7" s="60" cm="1">
        <f t="array" ref="M7">SUMPRODUCT((B$4:B$49&gt;=K7)*(C$4:C$49&lt;=L7)*F$4:F$49)</f>
        <v>0</v>
      </c>
      <c r="N7" s="10"/>
      <c r="O7" s="59">
        <f t="shared" si="1"/>
        <v>0</v>
      </c>
      <c r="P7" s="57"/>
      <c r="Q7" s="59">
        <f>IF(T7, Seniority!D$6,     IF(U7, ((1+L7-Seniority!B$6)*Seniority!D$6 + (1+Seniority!C$7-K7)*Seniority!D$7)/(365+(MOD(YEAR(K7),4)=3)),       IF(V7, Seniority!D$7,          IF(W7, ((1+L7-Seniority!B$7)*Seniority!D$7 + (1+Seniority!C$8-K7)*Seniority!D$8)/(365+(MOD(YEAR(K7),4)=3)),   IF(X7,Seniority!D$8,  IF(Y7, Seniority!D$8*(L7-Seniority!B$8)/(365+(MOD(YEAR(K7),4)=3)),                     IF(S7,(1+L7-Seniority!B$6)*Seniority!D$6/ (365+(MOD(YEAR(K7),4)=3)),0        )) )))))</f>
        <v>0</v>
      </c>
      <c r="R7" s="10"/>
      <c r="S7" s="10" t="b">
        <f>AND(K7&lt;Seniority!B$6,L7&gt;=Seniority!B$6)</f>
        <v>0</v>
      </c>
      <c r="T7" s="10" t="b">
        <f>K7&gt;Seniority!B$6</f>
        <v>1</v>
      </c>
      <c r="U7" s="10" t="b">
        <f>AND(NOT(T7),IF(ISBLANK(Seniority!B$7),1=0,AND(L7 &gt;= Seniority!B$6,K7 &gt;=Seniority!B$7)))</f>
        <v>0</v>
      </c>
      <c r="V7" s="10" t="b">
        <f ca="1">AND(L7&lt;=Seniority!C$7,K7&gt;=Seniority!B$7,NOT(ISBLANK(Seniority(B$5))))</f>
        <v>0</v>
      </c>
      <c r="W7" s="10" t="b">
        <f ca="1">AND(NOT(ISBLANK(Seniority!B$8)),NOT(T7),NOT(V7),AND(L7&gt;=Seniority!B$7,K7&lt;=Seniority!C$8))</f>
        <v>0</v>
      </c>
      <c r="X7" s="10" t="b">
        <f>AND(L7&lt;=Seniority!C$8,K7&gt;=Seniority!B$8)</f>
        <v>0</v>
      </c>
      <c r="Y7" s="10" t="b">
        <f>AND(NOT(ISBLANK(Seniority!B$8)),L7&gt;=Seniority!B$8,K7&lt;Seniority!B$8,Seniority!C$8&gt;=L7)</f>
        <v>0</v>
      </c>
      <c r="Z7" s="10"/>
    </row>
    <row r="8" spans="1:26" x14ac:dyDescent="0.25">
      <c r="A8" s="19"/>
      <c r="B8" s="7"/>
      <c r="C8" s="16" t="str">
        <f>IF(ISBLANK(D8),"",IF(D8&gt;Seniority!C$6,Seniority!C$6,D8))</f>
        <v/>
      </c>
      <c r="D8" s="7"/>
      <c r="E8" s="56"/>
      <c r="F8" s="24">
        <f t="shared" si="0"/>
        <v>0</v>
      </c>
      <c r="G8" s="19"/>
      <c r="H8" s="26"/>
      <c r="I8" s="19" t="str">
        <f>IF(ISBLANK(B8),"",IF(B8&lt;Seniority!M$3,"Term work done while not continuing - put in Seniority sheet",IF(D8&gt;Seniority!C$6,"Note - end date post dates seniority date",IF(AND(B8&lt;DATE(YEAR(B8),8,25), C8&gt;=DATE(YEAR(B8),8,25)),"Please split into two contracts - one ending on Aug 24","")   )))</f>
        <v/>
      </c>
      <c r="J8" s="26"/>
      <c r="K8" s="57">
        <f t="shared" si="2"/>
        <v>692373</v>
      </c>
      <c r="L8" s="57">
        <f t="shared" si="3"/>
        <v>692738</v>
      </c>
      <c r="M8" s="60" cm="1">
        <f t="array" ref="M8">SUMPRODUCT((B$4:B$49&gt;=K8)*(C$4:C$49&lt;=L8)*F$4:F$49)</f>
        <v>0</v>
      </c>
      <c r="N8" s="10"/>
      <c r="O8" s="59">
        <f t="shared" si="1"/>
        <v>0</v>
      </c>
      <c r="P8" s="57"/>
      <c r="Q8" s="59">
        <f>IF(T8, Seniority!D$6,     IF(U8, ((1+L8-Seniority!B$6)*Seniority!D$6 + (1+Seniority!C$7-K8)*Seniority!D$7)/(365+(MOD(YEAR(K8),4)=3)),       IF(V8, Seniority!D$7,          IF(W8, ((1+L8-Seniority!B$7)*Seniority!D$7 + (1+Seniority!C$8-K8)*Seniority!D$8)/(365+(MOD(YEAR(K8),4)=3)),   IF(X8,Seniority!D$8,  IF(Y8, Seniority!D$8*(L8-Seniority!B$8)/(365+(MOD(YEAR(K8),4)=3)),                     IF(S8,(1+L8-Seniority!B$6)*Seniority!D$6/ (365+(MOD(YEAR(K8),4)=3)),0        )) )))))</f>
        <v>0</v>
      </c>
      <c r="R8" s="10"/>
      <c r="S8" s="10" t="b">
        <f>AND(K8&lt;Seniority!B$6,L8&gt;=Seniority!B$6)</f>
        <v>0</v>
      </c>
      <c r="T8" s="10" t="b">
        <f>K8&gt;Seniority!B$6</f>
        <v>1</v>
      </c>
      <c r="U8" s="10" t="b">
        <f>AND(NOT(T8),IF(ISBLANK(Seniority!B$7),1=0,AND(L8 &gt;= Seniority!B$6,K8 &gt;=Seniority!B$7)))</f>
        <v>0</v>
      </c>
      <c r="V8" s="10" t="b">
        <f ca="1">AND(L8&lt;=Seniority!C$7,K8&gt;=Seniority!B$7,NOT(ISBLANK(Seniority(B$5))))</f>
        <v>0</v>
      </c>
      <c r="W8" s="10" t="b">
        <f ca="1">AND(NOT(ISBLANK(Seniority!B$8)),NOT(T8),NOT(V8),AND(L8&gt;=Seniority!B$7,K8&lt;=Seniority!C$8))</f>
        <v>0</v>
      </c>
      <c r="X8" s="10" t="b">
        <f>AND(L8&lt;=Seniority!C$8,K8&gt;=Seniority!B$8)</f>
        <v>0</v>
      </c>
      <c r="Y8" s="10" t="b">
        <f>AND(NOT(ISBLANK(Seniority!B$8)),L8&gt;=Seniority!B$8,K8&lt;Seniority!B$8,Seniority!C$8&gt;=L8)</f>
        <v>0</v>
      </c>
      <c r="Z8" s="10"/>
    </row>
    <row r="9" spans="1:26" x14ac:dyDescent="0.25">
      <c r="A9" s="19"/>
      <c r="B9" s="7"/>
      <c r="C9" s="16" t="str">
        <f>IF(ISBLANK(D9),"",IF(D9&gt;Seniority!C$6,Seniority!C$6,D9))</f>
        <v/>
      </c>
      <c r="D9" s="7"/>
      <c r="E9" s="56"/>
      <c r="F9" s="24">
        <f t="shared" si="0"/>
        <v>0</v>
      </c>
      <c r="G9" s="19"/>
      <c r="H9" s="26"/>
      <c r="I9" s="19" t="str">
        <f>IF(ISBLANK(B9),"",IF(B9&lt;Seniority!M$3,"Term work done while not continuing - put in Seniority sheet",IF(D9&gt;Seniority!C$6,"Note - end date post dates seniority date",IF(AND(B9&lt;DATE(YEAR(B9),8,25), C9&gt;=DATE(YEAR(B9),8,25)),"Please split into two contracts - one ending on Aug 24","")   )))</f>
        <v/>
      </c>
      <c r="J9" s="26"/>
      <c r="K9" s="57">
        <f t="shared" si="2"/>
        <v>692008</v>
      </c>
      <c r="L9" s="57">
        <f t="shared" si="3"/>
        <v>692372</v>
      </c>
      <c r="M9" s="60" cm="1">
        <f t="array" ref="M9">SUMPRODUCT((B$4:B$49&gt;=K9)*(C$4:C$49&lt;=L9)*F$4:F$49)</f>
        <v>0</v>
      </c>
      <c r="N9" s="10"/>
      <c r="O9" s="59">
        <f t="shared" si="1"/>
        <v>0</v>
      </c>
      <c r="P9" s="57"/>
      <c r="Q9" s="59">
        <f>IF(T9, Seniority!D$6,     IF(U9, ((1+L9-Seniority!B$6)*Seniority!D$6 + (1+Seniority!C$7-K9)*Seniority!D$7)/(365+(MOD(YEAR(K9),4)=3)),       IF(V9, Seniority!D$7,          IF(W9, ((1+L9-Seniority!B$7)*Seniority!D$7 + (1+Seniority!C$8-K9)*Seniority!D$8)/(365+(MOD(YEAR(K9),4)=3)),   IF(X9,Seniority!D$8,  IF(Y9, Seniority!D$8*(L9-Seniority!B$8)/(365+(MOD(YEAR(K9),4)=3)),                     IF(S9,(1+L9-Seniority!B$6)*Seniority!D$6/ (365+(MOD(YEAR(K9),4)=3)),0        )) )))))</f>
        <v>0</v>
      </c>
      <c r="R9" s="10"/>
      <c r="S9" s="10" t="b">
        <f>AND(K9&lt;Seniority!B$6,L9&gt;=Seniority!B$6)</f>
        <v>0</v>
      </c>
      <c r="T9" s="10" t="b">
        <f>K9&gt;Seniority!B$6</f>
        <v>1</v>
      </c>
      <c r="U9" s="10" t="b">
        <f>AND(NOT(T9),IF(ISBLANK(Seniority!B$7),1=0,AND(L9 &gt;= Seniority!B$6,K9 &gt;=Seniority!B$7)))</f>
        <v>0</v>
      </c>
      <c r="V9" s="10" t="b">
        <f ca="1">AND(L9&lt;=Seniority!C$7,K9&gt;=Seniority!B$7,NOT(ISBLANK(Seniority(B$5))))</f>
        <v>0</v>
      </c>
      <c r="W9" s="10" t="b">
        <f ca="1">AND(NOT(ISBLANK(Seniority!B$8)),NOT(T9),NOT(V9),AND(L9&gt;=Seniority!B$7,K9&lt;=Seniority!C$8))</f>
        <v>0</v>
      </c>
      <c r="X9" s="10" t="b">
        <f>AND(L9&lt;=Seniority!C$8,K9&gt;=Seniority!B$8)</f>
        <v>0</v>
      </c>
      <c r="Y9" s="10" t="b">
        <f>AND(NOT(ISBLANK(Seniority!B$8)),L9&gt;=Seniority!B$8,K9&lt;Seniority!B$8,Seniority!C$8&gt;=L9)</f>
        <v>0</v>
      </c>
      <c r="Z9" s="10"/>
    </row>
    <row r="10" spans="1:26" x14ac:dyDescent="0.25">
      <c r="A10" s="19"/>
      <c r="B10" s="7"/>
      <c r="C10" s="16" t="str">
        <f>IF(ISBLANK(D10),"",IF(D10&gt;Seniority!C$6,Seniority!C$6,D10))</f>
        <v/>
      </c>
      <c r="D10" s="7"/>
      <c r="E10" s="56"/>
      <c r="F10" s="24">
        <f t="shared" si="0"/>
        <v>0</v>
      </c>
      <c r="G10" s="19"/>
      <c r="H10" s="26"/>
      <c r="I10" s="19" t="str">
        <f>IF(ISBLANK(B10),"",IF(B10&lt;Seniority!M$3,"Term work done while not continuing - put in Seniority sheet",IF(D10&gt;Seniority!C$6,"Note - end date post dates seniority date",IF(AND(B10&lt;DATE(YEAR(B10),8,25), C10&gt;=DATE(YEAR(B10),8,25)),"Please split into two contracts - one ending on Aug 24","")   )))</f>
        <v/>
      </c>
      <c r="J10" s="26"/>
      <c r="K10" s="57">
        <f t="shared" si="2"/>
        <v>691643</v>
      </c>
      <c r="L10" s="57">
        <f t="shared" si="3"/>
        <v>692007</v>
      </c>
      <c r="M10" s="60" cm="1">
        <f t="array" ref="M10">SUMPRODUCT((B$4:B$49&gt;=K10)*(C$4:C$49&lt;=L10)*F$4:F$49)</f>
        <v>0</v>
      </c>
      <c r="N10" s="10"/>
      <c r="O10" s="59">
        <f t="shared" si="1"/>
        <v>0</v>
      </c>
      <c r="P10" s="57"/>
      <c r="Q10" s="59">
        <f>IF(T10, Seniority!D$6,     IF(U10, ((1+L10-Seniority!B$6)*Seniority!D$6 + (1+Seniority!C$7-K10)*Seniority!D$7)/(365+(MOD(YEAR(K10),4)=3)),       IF(V10, Seniority!D$7,          IF(W10, ((1+L10-Seniority!B$7)*Seniority!D$7 + (1+Seniority!C$8-K10)*Seniority!D$8)/(365+(MOD(YEAR(K10),4)=3)),   IF(X10,Seniority!D$8,  IF(Y10, Seniority!D$8*(L10-Seniority!B$8)/(365+(MOD(YEAR(K10),4)=3)),                     IF(S10,(1+L10-Seniority!B$6)*Seniority!D$6/ (365+(MOD(YEAR(K10),4)=3)),0        )) )))))</f>
        <v>0</v>
      </c>
      <c r="R10" s="10"/>
      <c r="S10" s="10" t="b">
        <f>AND(K10&lt;Seniority!B$6,L10&gt;=Seniority!B$6)</f>
        <v>0</v>
      </c>
      <c r="T10" s="10" t="b">
        <f>K10&gt;Seniority!B$6</f>
        <v>1</v>
      </c>
      <c r="U10" s="10" t="b">
        <f>AND(NOT(T10),IF(ISBLANK(Seniority!B$7),1=0,AND(L10 &gt;= Seniority!B$6,K10 &gt;=Seniority!B$7)))</f>
        <v>0</v>
      </c>
      <c r="V10" s="10" t="b">
        <f ca="1">AND(L10&lt;=Seniority!C$7,K10&gt;=Seniority!B$7,NOT(ISBLANK(Seniority(B$5))))</f>
        <v>0</v>
      </c>
      <c r="W10" s="10" t="b">
        <f ca="1">AND(NOT(ISBLANK(Seniority!B$8)),NOT(T10),NOT(V10),AND(L10&gt;=Seniority!B$7,K10&lt;=Seniority!C$8))</f>
        <v>0</v>
      </c>
      <c r="X10" s="10" t="b">
        <f>AND(L10&lt;=Seniority!C$8,K10&gt;=Seniority!B$8)</f>
        <v>0</v>
      </c>
      <c r="Y10" s="10" t="b">
        <f>AND(NOT(ISBLANK(Seniority!B$8)),L10&gt;=Seniority!B$8,K10&lt;Seniority!B$8,Seniority!C$8&gt;=L10)</f>
        <v>0</v>
      </c>
      <c r="Z10" s="10"/>
    </row>
    <row r="11" spans="1:26" x14ac:dyDescent="0.25">
      <c r="A11" s="19"/>
      <c r="B11" s="7"/>
      <c r="C11" s="16" t="str">
        <f>IF(ISBLANK(D11),"",IF(D11&gt;Seniority!C$6,Seniority!C$6,D11))</f>
        <v/>
      </c>
      <c r="D11" s="7"/>
      <c r="E11" s="56"/>
      <c r="F11" s="24">
        <f t="shared" si="0"/>
        <v>0</v>
      </c>
      <c r="G11" s="19"/>
      <c r="H11" s="26"/>
      <c r="I11" s="19" t="str">
        <f>IF(ISBLANK(B11),"",IF(B11&lt;Seniority!M$3,"Term work done while not continuing - put in Seniority sheet",IF(D11&gt;Seniority!C$6,"Note - end date post dates seniority date",IF(AND(B11&lt;DATE(YEAR(B11),8,25), C11&gt;=DATE(YEAR(B11),8,25)),"Please split into two contracts - one ending on Aug 24","")   )))</f>
        <v/>
      </c>
      <c r="J11" s="26"/>
      <c r="K11" s="57">
        <f t="shared" si="2"/>
        <v>691278</v>
      </c>
      <c r="L11" s="57">
        <f t="shared" si="3"/>
        <v>691642</v>
      </c>
      <c r="M11" s="60" cm="1">
        <f t="array" ref="M11">SUMPRODUCT((B$4:B$49&gt;=K11)*(C$4:C$49&lt;=L11)*F$4:F$49)</f>
        <v>0</v>
      </c>
      <c r="N11" s="10"/>
      <c r="O11" s="59">
        <f t="shared" si="1"/>
        <v>0</v>
      </c>
      <c r="P11" s="57"/>
      <c r="Q11" s="59">
        <f>IF(T11, Seniority!D$6,     IF(U11, ((1+L11-Seniority!B$6)*Seniority!D$6 + (1+Seniority!C$7-K11)*Seniority!D$7)/(365+(MOD(YEAR(K11),4)=3)),       IF(V11, Seniority!D$7,          IF(W11, ((1+L11-Seniority!B$7)*Seniority!D$7 + (1+Seniority!C$8-K11)*Seniority!D$8)/(365+(MOD(YEAR(K11),4)=3)),   IF(X11,Seniority!D$8,  IF(Y11, Seniority!D$8*(L11-Seniority!B$8)/(365+(MOD(YEAR(K11),4)=3)),                     IF(S11,(1+L11-Seniority!B$6)*Seniority!D$6/ (365+(MOD(YEAR(K11),4)=3)),0        )) )))))</f>
        <v>0</v>
      </c>
      <c r="R11" s="10"/>
      <c r="S11" s="10" t="b">
        <f>AND(K11&lt;Seniority!B$6,L11&gt;=Seniority!B$6)</f>
        <v>0</v>
      </c>
      <c r="T11" s="10" t="b">
        <f>K11&gt;Seniority!B$6</f>
        <v>1</v>
      </c>
      <c r="U11" s="10" t="b">
        <f>AND(NOT(T11),IF(ISBLANK(Seniority!B$7),1=0,AND(L11 &gt;= Seniority!B$6,K11 &gt;=Seniority!B$7)))</f>
        <v>0</v>
      </c>
      <c r="V11" s="10" t="b">
        <f ca="1">AND(L11&lt;=Seniority!C$7,K11&gt;=Seniority!B$7,NOT(ISBLANK(Seniority(B$5))))</f>
        <v>0</v>
      </c>
      <c r="W11" s="10" t="b">
        <f ca="1">AND(NOT(ISBLANK(Seniority!B$8)),NOT(T11),NOT(V11),AND(L11&gt;=Seniority!B$7,K11&lt;=Seniority!C$8))</f>
        <v>0</v>
      </c>
      <c r="X11" s="10" t="b">
        <f>AND(L11&lt;=Seniority!C$8,K11&gt;=Seniority!B$8)</f>
        <v>0</v>
      </c>
      <c r="Y11" s="10" t="b">
        <f>AND(NOT(ISBLANK(Seniority!B$8)),L11&gt;=Seniority!B$8,K11&lt;Seniority!B$8,Seniority!C$8&gt;=L11)</f>
        <v>0</v>
      </c>
      <c r="Z11" s="10"/>
    </row>
    <row r="12" spans="1:26" x14ac:dyDescent="0.25">
      <c r="A12" s="19"/>
      <c r="B12" s="7"/>
      <c r="C12" s="16" t="str">
        <f>IF(ISBLANK(D12),"",IF(D12&gt;Seniority!C$6,Seniority!C$6,D12))</f>
        <v/>
      </c>
      <c r="D12" s="7"/>
      <c r="E12" s="56"/>
      <c r="F12" s="24">
        <f t="shared" si="0"/>
        <v>0</v>
      </c>
      <c r="G12" s="19"/>
      <c r="H12" s="26"/>
      <c r="I12" s="19" t="str">
        <f>IF(ISBLANK(B12),"",IF(B12&lt;Seniority!M$3,"Term work done while not continuing - put in Seniority sheet",IF(D12&gt;Seniority!C$6,"Note - end date post dates seniority date",IF(AND(B12&lt;DATE(YEAR(B12),8,25), C12&gt;=DATE(YEAR(B12),8,25)),"Please split into two contracts - one ending on Aug 24","")   )))</f>
        <v/>
      </c>
      <c r="J12" s="26"/>
      <c r="K12" s="57">
        <f t="shared" si="2"/>
        <v>690912</v>
      </c>
      <c r="L12" s="57">
        <f t="shared" si="3"/>
        <v>691277</v>
      </c>
      <c r="M12" s="60" cm="1">
        <f t="array" ref="M12">SUMPRODUCT((B$4:B$49&gt;=K12)*(C$4:C$49&lt;=L12)*F$4:F$49)</f>
        <v>0</v>
      </c>
      <c r="N12" s="10"/>
      <c r="O12" s="59">
        <f t="shared" si="1"/>
        <v>0</v>
      </c>
      <c r="P12" s="57"/>
      <c r="Q12" s="59">
        <f>IF(T12, Seniority!D$6,     IF(U12, ((1+L12-Seniority!B$6)*Seniority!D$6 + (1+Seniority!C$7-K12)*Seniority!D$7)/(365+(MOD(YEAR(K12),4)=3)),       IF(V12, Seniority!D$7,          IF(W12, ((1+L12-Seniority!B$7)*Seniority!D$7 + (1+Seniority!C$8-K12)*Seniority!D$8)/(365+(MOD(YEAR(K12),4)=3)),   IF(X12,Seniority!D$8,  IF(Y12, Seniority!D$8*(L12-Seniority!B$8)/(365+(MOD(YEAR(K12),4)=3)),                     IF(S12,(1+L12-Seniority!B$6)*Seniority!D$6/ (365+(MOD(YEAR(K12),4)=3)),0        )) )))))</f>
        <v>0</v>
      </c>
      <c r="R12" s="10"/>
      <c r="S12" s="10" t="b">
        <f>AND(K12&lt;Seniority!B$6,L12&gt;=Seniority!B$6)</f>
        <v>0</v>
      </c>
      <c r="T12" s="10" t="b">
        <f>K12&gt;Seniority!B$6</f>
        <v>1</v>
      </c>
      <c r="U12" s="10" t="b">
        <f>AND(NOT(T12),IF(ISBLANK(Seniority!B$7),1=0,AND(L12 &gt;= Seniority!B$6,K12 &gt;=Seniority!B$7)))</f>
        <v>0</v>
      </c>
      <c r="V12" s="10" t="b">
        <f ca="1">AND(L12&lt;=Seniority!C$7,K12&gt;=Seniority!B$7,NOT(ISBLANK(Seniority(B$5))))</f>
        <v>0</v>
      </c>
      <c r="W12" s="10" t="b">
        <f ca="1">AND(NOT(ISBLANK(Seniority!B$8)),NOT(T12),NOT(V12),AND(L12&gt;=Seniority!B$7,K12&lt;=Seniority!C$8))</f>
        <v>0</v>
      </c>
      <c r="X12" s="10" t="b">
        <f>AND(L12&lt;=Seniority!C$8,K12&gt;=Seniority!B$8)</f>
        <v>0</v>
      </c>
      <c r="Y12" s="10" t="b">
        <f>AND(NOT(ISBLANK(Seniority!B$8)),L12&gt;=Seniority!B$8,K12&lt;Seniority!B$8,Seniority!C$8&gt;=L12)</f>
        <v>0</v>
      </c>
      <c r="Z12" s="10"/>
    </row>
    <row r="13" spans="1:26" x14ac:dyDescent="0.25">
      <c r="A13" s="19"/>
      <c r="B13" s="7"/>
      <c r="C13" s="16" t="str">
        <f>IF(ISBLANK(D13),"",IF(D13&gt;Seniority!C$6,Seniority!C$6,D13))</f>
        <v/>
      </c>
      <c r="D13" s="7"/>
      <c r="E13" s="56"/>
      <c r="F13" s="24">
        <f t="shared" si="0"/>
        <v>0</v>
      </c>
      <c r="G13" s="19"/>
      <c r="H13" s="26"/>
      <c r="I13" s="19" t="str">
        <f>IF(ISBLANK(B13),"",IF(B13&lt;Seniority!M$3,"Term work done while not continuing - put in Seniority sheet",IF(D13&gt;Seniority!C$6,"Note - end date post dates seniority date",IF(AND(B13&lt;DATE(YEAR(B13),8,25), C13&gt;=DATE(YEAR(B13),8,25)),"Please split into two contracts - one ending on Aug 24","")   )))</f>
        <v/>
      </c>
      <c r="J13" s="26"/>
      <c r="K13" s="57">
        <f t="shared" si="2"/>
        <v>690547</v>
      </c>
      <c r="L13" s="57">
        <f t="shared" si="3"/>
        <v>690911</v>
      </c>
      <c r="M13" s="60" cm="1">
        <f t="array" ref="M13">SUMPRODUCT((B$4:B$49&gt;=K13)*(C$4:C$49&lt;=L13)*F$4:F$49)</f>
        <v>0</v>
      </c>
      <c r="N13" s="10"/>
      <c r="O13" s="59">
        <f t="shared" si="1"/>
        <v>0</v>
      </c>
      <c r="P13" s="57"/>
      <c r="Q13" s="59">
        <f>IF(T13, Seniority!D$6,     IF(U13, ((1+L13-Seniority!B$6)*Seniority!D$6 + (1+Seniority!C$7-K13)*Seniority!D$7)/(365+(MOD(YEAR(K13),4)=3)),       IF(V13, Seniority!D$7,          IF(W13, ((1+L13-Seniority!B$7)*Seniority!D$7 + (1+Seniority!C$8-K13)*Seniority!D$8)/(365+(MOD(YEAR(K13),4)=3)),   IF(X13,Seniority!D$8,  IF(Y13, Seniority!D$8*(L13-Seniority!B$8)/(365+(MOD(YEAR(K13),4)=3)),                     IF(S13,(1+L13-Seniority!B$6)*Seniority!D$6/ (365+(MOD(YEAR(K13),4)=3)),0        )) )))))</f>
        <v>0</v>
      </c>
      <c r="R13" s="10"/>
      <c r="S13" s="10" t="b">
        <f>AND(K13&lt;Seniority!B$6,L13&gt;=Seniority!B$6)</f>
        <v>0</v>
      </c>
      <c r="T13" s="10" t="b">
        <f>K13&gt;Seniority!B$6</f>
        <v>1</v>
      </c>
      <c r="U13" s="10" t="b">
        <f>AND(NOT(T13),IF(ISBLANK(Seniority!B$7),1=0,AND(L13 &gt;= Seniority!B$6,K13 &gt;=Seniority!B$7)))</f>
        <v>0</v>
      </c>
      <c r="V13" s="10" t="b">
        <f ca="1">AND(L13&lt;=Seniority!C$7,K13&gt;=Seniority!B$7,NOT(ISBLANK(Seniority(B$5))))</f>
        <v>0</v>
      </c>
      <c r="W13" s="10" t="b">
        <f ca="1">AND(NOT(ISBLANK(Seniority!B$8)),NOT(T13),NOT(V13),AND(L13&gt;=Seniority!B$7,K13&lt;=Seniority!C$8))</f>
        <v>0</v>
      </c>
      <c r="X13" s="10" t="b">
        <f>AND(L13&lt;=Seniority!C$8,K13&gt;=Seniority!B$8)</f>
        <v>0</v>
      </c>
      <c r="Y13" s="10" t="b">
        <f>AND(NOT(ISBLANK(Seniority!B$8)),L13&gt;=Seniority!B$8,K13&lt;Seniority!B$8,Seniority!C$8&gt;=L13)</f>
        <v>0</v>
      </c>
      <c r="Z13" s="10"/>
    </row>
    <row r="14" spans="1:26" x14ac:dyDescent="0.25">
      <c r="A14" s="19"/>
      <c r="B14" s="7"/>
      <c r="C14" s="16" t="str">
        <f>IF(ISBLANK(D14),"",IF(D14&gt;Seniority!C$6,Seniority!C$6,D14))</f>
        <v/>
      </c>
      <c r="D14" s="7"/>
      <c r="E14" s="56"/>
      <c r="F14" s="24">
        <f t="shared" si="0"/>
        <v>0</v>
      </c>
      <c r="G14" s="19"/>
      <c r="H14" s="26"/>
      <c r="I14" s="19" t="str">
        <f>IF(ISBLANK(B14),"",IF(B14&lt;Seniority!M$3,"Term work done while not continuing - put in Seniority sheet",IF(D14&gt;Seniority!C$6,"Note - end date post dates seniority date",IF(AND(B14&lt;DATE(YEAR(B14),8,25), C14&gt;=DATE(YEAR(B14),8,25)),"Please split into two contracts - one ending on Aug 24","")   )))</f>
        <v/>
      </c>
      <c r="J14" s="26"/>
      <c r="K14" s="57">
        <f t="shared" si="2"/>
        <v>690182</v>
      </c>
      <c r="L14" s="57">
        <f t="shared" si="3"/>
        <v>690546</v>
      </c>
      <c r="M14" s="60" cm="1">
        <f t="array" ref="M14">SUMPRODUCT((B$4:B$49&gt;=K14)*(C$4:C$49&lt;=L14)*F$4:F$49)</f>
        <v>0</v>
      </c>
      <c r="N14" s="10"/>
      <c r="O14" s="59">
        <f t="shared" si="1"/>
        <v>0</v>
      </c>
      <c r="P14" s="57"/>
      <c r="Q14" s="59">
        <f>IF(T14, Seniority!D$6,     IF(U14, ((1+L14-Seniority!B$6)*Seniority!D$6 + (1+Seniority!C$7-K14)*Seniority!D$7)/(365+(MOD(YEAR(K14),4)=3)),       IF(V14, Seniority!D$7,          IF(W14, ((1+L14-Seniority!B$7)*Seniority!D$7 + (1+Seniority!C$8-K14)*Seniority!D$8)/(365+(MOD(YEAR(K14),4)=3)),   IF(X14,Seniority!D$8,  IF(Y14, Seniority!D$8*(L14-Seniority!B$8)/(365+(MOD(YEAR(K14),4)=3)),                     IF(S14,(1+L14-Seniority!B$6)*Seniority!D$6/ (365+(MOD(YEAR(K14),4)=3)),0        )) )))))</f>
        <v>0</v>
      </c>
      <c r="R14" s="10"/>
      <c r="S14" s="10" t="b">
        <f>AND(K14&lt;Seniority!B$6,L14&gt;=Seniority!B$6)</f>
        <v>0</v>
      </c>
      <c r="T14" s="10" t="b">
        <f>K14&gt;Seniority!B$6</f>
        <v>1</v>
      </c>
      <c r="U14" s="10" t="b">
        <f>AND(NOT(T14),IF(ISBLANK(Seniority!B$7),1=0,AND(L14 &gt;= Seniority!B$6,K14 &gt;=Seniority!B$7)))</f>
        <v>0</v>
      </c>
      <c r="V14" s="10" t="b">
        <f ca="1">AND(L14&lt;=Seniority!C$7,K14&gt;=Seniority!B$7,NOT(ISBLANK(Seniority(B$5))))</f>
        <v>0</v>
      </c>
      <c r="W14" s="10" t="b">
        <f ca="1">AND(NOT(ISBLANK(Seniority!B$8)),NOT(T14),NOT(V14),AND(L14&gt;=Seniority!B$7,K14&lt;=Seniority!C$8))</f>
        <v>0</v>
      </c>
      <c r="X14" s="10" t="b">
        <f>AND(L14&lt;=Seniority!C$8,K14&gt;=Seniority!B$8)</f>
        <v>0</v>
      </c>
      <c r="Y14" s="10" t="b">
        <f>AND(NOT(ISBLANK(Seniority!B$8)),L14&gt;=Seniority!B$8,K14&lt;Seniority!B$8,Seniority!C$8&gt;=L14)</f>
        <v>0</v>
      </c>
      <c r="Z14" s="10"/>
    </row>
    <row r="15" spans="1:26" x14ac:dyDescent="0.25">
      <c r="A15" s="19"/>
      <c r="B15" s="7"/>
      <c r="C15" s="16" t="str">
        <f>IF(ISBLANK(D15),"",IF(D15&gt;Seniority!C$6,Seniority!C$6,D15))</f>
        <v/>
      </c>
      <c r="D15" s="7"/>
      <c r="E15" s="56"/>
      <c r="F15" s="24">
        <f t="shared" si="0"/>
        <v>0</v>
      </c>
      <c r="G15" s="19"/>
      <c r="H15" s="26"/>
      <c r="I15" s="19" t="str">
        <f>IF(ISBLANK(B15),"",IF(B15&lt;Seniority!M$3,"Term work done while not continuing - put in Seniority sheet",IF(D15&gt;Seniority!C$6,"Note - end date post dates seniority date",IF(AND(B15&lt;DATE(YEAR(B15),8,25), C15&gt;=DATE(YEAR(B15),8,25)),"Please split into two contracts - one ending on Aug 24","")   )))</f>
        <v/>
      </c>
      <c r="J15" s="26"/>
      <c r="K15" s="57">
        <f t="shared" si="2"/>
        <v>689817</v>
      </c>
      <c r="L15" s="57">
        <f t="shared" si="3"/>
        <v>690181</v>
      </c>
      <c r="M15" s="60" cm="1">
        <f t="array" ref="M15">SUMPRODUCT((B$4:B$49&gt;=K15)*(C$4:C$49&lt;=L15)*F$4:F$49)</f>
        <v>0</v>
      </c>
      <c r="N15" s="10"/>
      <c r="O15" s="59">
        <f>MIN(M15, (1+L15-K15)/(365+(MOD(YEAR(K15),4)=3))-Q15)</f>
        <v>0</v>
      </c>
      <c r="P15" s="57"/>
      <c r="Q15" s="59">
        <f>IF(T15, Seniority!D$6,     IF(U15, ((1+L15-Seniority!B$6)*Seniority!D$6 + (1+Seniority!C$7-K15)*Seniority!D$7)/(365+(MOD(YEAR(K15),4)=3)),       IF(V15, Seniority!D$7,          IF(W15, ((1+L15-Seniority!B$7)*Seniority!D$7 + (1+Seniority!C$8-K15)*Seniority!D$8)/(365+(MOD(YEAR(K15),4)=3)),   IF(X15,Seniority!D$8,  IF(Y15, Seniority!D$8*(L15-Seniority!B$8)/(365+(MOD(YEAR(K15),4)=3)),                     IF(S15,(1+L15-Seniority!B$6)*Seniority!D$6/ (365+(MOD(YEAR(K15),4)=3)),0        )) )))))</f>
        <v>0</v>
      </c>
      <c r="R15" s="10"/>
      <c r="S15" s="10" t="b">
        <f>AND(K15&lt;Seniority!B$6,L15&gt;=Seniority!B$6)</f>
        <v>0</v>
      </c>
      <c r="T15" s="10" t="b">
        <f>K15&gt;Seniority!B$6</f>
        <v>1</v>
      </c>
      <c r="U15" s="10" t="b">
        <f>AND(NOT(T15),IF(ISBLANK(Seniority!B$7),1=0,AND(L15 &gt;= Seniority!B$6,K15 &gt;=Seniority!B$7)))</f>
        <v>0</v>
      </c>
      <c r="V15" s="10" t="b">
        <f ca="1">AND(L15&lt;=Seniority!C$7,K15&gt;=Seniority!B$7,NOT(ISBLANK(Seniority(B$5))))</f>
        <v>0</v>
      </c>
      <c r="W15" s="10" t="b">
        <f ca="1">AND(NOT(ISBLANK(Seniority!B$8)),NOT(T15),NOT(V15),AND(L15&gt;=Seniority!B$7,K15&lt;=Seniority!C$8))</f>
        <v>0</v>
      </c>
      <c r="X15" s="10" t="b">
        <f>AND(L15&lt;=Seniority!C$8,K15&gt;=Seniority!B$8)</f>
        <v>0</v>
      </c>
      <c r="Y15" s="10" t="b">
        <f>AND(NOT(ISBLANK(Seniority!B$8)),L15&gt;=Seniority!B$8,K15&lt;Seniority!B$8,Seniority!C$8&gt;=L15)</f>
        <v>0</v>
      </c>
      <c r="Z15" s="10"/>
    </row>
    <row r="16" spans="1:26" x14ac:dyDescent="0.25">
      <c r="A16" s="19"/>
      <c r="B16" s="7"/>
      <c r="C16" s="16" t="str">
        <f>IF(ISBLANK(D16),"",IF(D16&gt;Seniority!C$6,Seniority!C$6,D16))</f>
        <v/>
      </c>
      <c r="D16" s="7"/>
      <c r="E16" s="56"/>
      <c r="F16" s="24">
        <f t="shared" si="0"/>
        <v>0</v>
      </c>
      <c r="G16" s="19"/>
      <c r="H16" s="26"/>
      <c r="I16" s="19" t="str">
        <f>IF(ISBLANK(B16),"",IF(B16&lt;Seniority!M$3,"Term work done while not continuing - put in Seniority sheet",IF(D16&gt;Seniority!C$6,"Note - end date post dates seniority date",IF(AND(B16&lt;DATE(YEAR(B16),8,25), C16&gt;=DATE(YEAR(B16),8,25)),"Please split into two contracts - one ending on Aug 24","")   )))</f>
        <v/>
      </c>
      <c r="J16" s="26"/>
      <c r="K16" s="57">
        <f t="shared" si="2"/>
        <v>689451</v>
      </c>
      <c r="L16" s="57">
        <f t="shared" si="3"/>
        <v>689816</v>
      </c>
      <c r="M16" s="60" cm="1">
        <f t="array" ref="M16">SUMPRODUCT((B$4:B$49&gt;=K16)*(C$4:C$49&lt;=L16)*F$4:F$49)</f>
        <v>0</v>
      </c>
      <c r="N16" s="10"/>
      <c r="O16" s="59">
        <f t="shared" ref="O16:O38" si="4">MIN(M16, (1+L16-K16)/(365+(MOD(YEAR(K16),4)=3))-Q16)</f>
        <v>0</v>
      </c>
      <c r="P16" s="57"/>
      <c r="Q16" s="59">
        <f>IF(T16, Seniority!D$6,     IF(U16, ((1+L16-Seniority!B$6)*Seniority!D$6 + (1+Seniority!C$7-K16)*Seniority!D$7)/(365+(MOD(YEAR(K16),4)=3)),       IF(V16, Seniority!D$7,          IF(W16, ((1+L16-Seniority!B$7)*Seniority!D$7 + (1+Seniority!C$8-K16)*Seniority!D$8)/(365+(MOD(YEAR(K16),4)=3)),   IF(X16,Seniority!D$8,  IF(Y16, Seniority!D$8*(L16-Seniority!B$8)/(365+(MOD(YEAR(K16),4)=3)),                     IF(S16,(1+L16-Seniority!B$6)*Seniority!D$6/ (365+(MOD(YEAR(K16),4)=3)),0        )) )))))</f>
        <v>0</v>
      </c>
      <c r="R16" s="10"/>
      <c r="S16" s="10" t="b">
        <f>AND(K16&lt;Seniority!B$6,L16&gt;=Seniority!B$6)</f>
        <v>0</v>
      </c>
      <c r="T16" s="10" t="b">
        <f>K16&gt;Seniority!B$6</f>
        <v>1</v>
      </c>
      <c r="U16" s="10" t="b">
        <f>AND(NOT(T16),IF(ISBLANK(Seniority!B$7),1=0,AND(L16 &gt;= Seniority!B$6,K16 &gt;=Seniority!B$7)))</f>
        <v>0</v>
      </c>
      <c r="V16" s="10" t="b">
        <f ca="1">AND(L16&lt;=Seniority!C$7,K16&gt;=Seniority!B$7,NOT(ISBLANK(Seniority(B$5))))</f>
        <v>0</v>
      </c>
      <c r="W16" s="10" t="b">
        <f ca="1">AND(NOT(ISBLANK(Seniority!B$8)),NOT(T16),NOT(V16),AND(L16&gt;=Seniority!B$7,K16&lt;=Seniority!C$8))</f>
        <v>0</v>
      </c>
      <c r="X16" s="10" t="b">
        <f>AND(L16&lt;=Seniority!C$8,K16&gt;=Seniority!B$8)</f>
        <v>0</v>
      </c>
      <c r="Y16" s="10" t="b">
        <f>AND(NOT(ISBLANK(Seniority!B$8)),L16&gt;=Seniority!B$8,K16&lt;Seniority!B$8,Seniority!C$8&gt;=L16)</f>
        <v>0</v>
      </c>
      <c r="Z16" s="10"/>
    </row>
    <row r="17" spans="1:26" x14ac:dyDescent="0.25">
      <c r="A17" s="19"/>
      <c r="B17" s="7"/>
      <c r="C17" s="16" t="str">
        <f>IF(ISBLANK(D17),"",IF(D17&gt;Seniority!C$6,Seniority!C$6,D17))</f>
        <v/>
      </c>
      <c r="D17" s="7"/>
      <c r="E17" s="56"/>
      <c r="F17" s="24">
        <f t="shared" si="0"/>
        <v>0</v>
      </c>
      <c r="G17" s="19"/>
      <c r="H17" s="26"/>
      <c r="I17" s="19" t="str">
        <f>IF(ISBLANK(B17),"",IF(B17&lt;Seniority!M$3,"Term work done while not continuing - put in Seniority sheet",IF(D17&gt;Seniority!C$6,"Note - end date post dates seniority date",IF(AND(B17&lt;DATE(YEAR(B17),8,25), C17&gt;=DATE(YEAR(B17),8,25)),"Please split into two contracts - one ending on Aug 24","")   )))</f>
        <v/>
      </c>
      <c r="J17" s="26"/>
      <c r="K17" s="57">
        <f t="shared" si="2"/>
        <v>689086</v>
      </c>
      <c r="L17" s="57">
        <f t="shared" si="3"/>
        <v>689450</v>
      </c>
      <c r="M17" s="60" cm="1">
        <f t="array" ref="M17">SUMPRODUCT((B$4:B$49&gt;=K17)*(C$4:C$49&lt;=L17)*F$4:F$49)</f>
        <v>0</v>
      </c>
      <c r="N17" s="10"/>
      <c r="O17" s="59">
        <f t="shared" si="4"/>
        <v>0</v>
      </c>
      <c r="P17" s="57"/>
      <c r="Q17" s="59">
        <f>IF(T17, Seniority!D$6,     IF(U17, ((1+L17-Seniority!B$6)*Seniority!D$6 + (1+Seniority!C$7-K17)*Seniority!D$7)/(365+(MOD(YEAR(K17),4)=3)),       IF(V17, Seniority!D$7,          IF(W17, ((1+L17-Seniority!B$7)*Seniority!D$7 + (1+Seniority!C$8-K17)*Seniority!D$8)/(365+(MOD(YEAR(K17),4)=3)),   IF(X17,Seniority!D$8,  IF(Y17, Seniority!D$8*(L17-Seniority!B$8)/(365+(MOD(YEAR(K17),4)=3)),                     IF(S17,(1+L17-Seniority!B$6)*Seniority!D$6/ (365+(MOD(YEAR(K17),4)=3)),0        )) )))))</f>
        <v>0</v>
      </c>
      <c r="R17" s="10"/>
      <c r="S17" s="10" t="b">
        <f>AND(K17&lt;Seniority!B$6,L17&gt;=Seniority!B$6)</f>
        <v>0</v>
      </c>
      <c r="T17" s="10" t="b">
        <f>K17&gt;Seniority!B$6</f>
        <v>1</v>
      </c>
      <c r="U17" s="10" t="b">
        <f>AND(NOT(T17),IF(ISBLANK(Seniority!B$7),1=0,AND(L17 &gt;= Seniority!B$6,K17 &gt;=Seniority!B$7)))</f>
        <v>0</v>
      </c>
      <c r="V17" s="10" t="b">
        <f ca="1">AND(L17&lt;=Seniority!C$7,K17&gt;=Seniority!B$7,NOT(ISBLANK(Seniority(B$5))))</f>
        <v>0</v>
      </c>
      <c r="W17" s="10" t="b">
        <f ca="1">AND(NOT(ISBLANK(Seniority!B$8)),NOT(T17),NOT(V17),AND(L17&gt;=Seniority!B$7,K17&lt;=Seniority!C$8))</f>
        <v>0</v>
      </c>
      <c r="X17" s="10" t="b">
        <f>AND(L17&lt;=Seniority!C$8,K17&gt;=Seniority!B$8)</f>
        <v>0</v>
      </c>
      <c r="Y17" s="10" t="b">
        <f>AND(NOT(ISBLANK(Seniority!B$8)),L17&gt;=Seniority!B$8,K17&lt;Seniority!B$8,Seniority!C$8&gt;=L17)</f>
        <v>0</v>
      </c>
      <c r="Z17" s="10"/>
    </row>
    <row r="18" spans="1:26" x14ac:dyDescent="0.25">
      <c r="A18" s="19"/>
      <c r="B18" s="7"/>
      <c r="C18" s="16" t="str">
        <f>IF(ISBLANK(D18),"",IF(D18&gt;Seniority!C$6,Seniority!C$6,D18))</f>
        <v/>
      </c>
      <c r="D18" s="7"/>
      <c r="E18" s="56"/>
      <c r="F18" s="24">
        <f t="shared" si="0"/>
        <v>0</v>
      </c>
      <c r="G18" s="19"/>
      <c r="H18" s="26"/>
      <c r="I18" s="19" t="str">
        <f>IF(ISBLANK(B18),"",IF(B18&lt;Seniority!M$3,"Term work done while not continuing - put in Seniority sheet",IF(D18&gt;Seniority!C$6,"Note - end date post dates seniority date",IF(AND(B18&lt;DATE(YEAR(B18),8,25), C18&gt;=DATE(YEAR(B18),8,25)),"Please split into two contracts - one ending on Aug 24","")   )))</f>
        <v/>
      </c>
      <c r="J18" s="26"/>
      <c r="K18" s="57">
        <f t="shared" si="2"/>
        <v>688721</v>
      </c>
      <c r="L18" s="57">
        <f t="shared" si="3"/>
        <v>689085</v>
      </c>
      <c r="M18" s="60" cm="1">
        <f t="array" ref="M18">SUMPRODUCT((B$4:B$49&gt;=K18)*(C$4:C$49&lt;=L18)*F$4:F$49)</f>
        <v>0</v>
      </c>
      <c r="N18" s="10"/>
      <c r="O18" s="59">
        <f t="shared" si="4"/>
        <v>0</v>
      </c>
      <c r="P18" s="57"/>
      <c r="Q18" s="59">
        <f>IF(T18, Seniority!D$6,     IF(U18, ((1+L18-Seniority!B$6)*Seniority!D$6 + (1+Seniority!C$7-K18)*Seniority!D$7)/(365+(MOD(YEAR(K18),4)=3)),       IF(V18, Seniority!D$7,          IF(W18, ((1+L18-Seniority!B$7)*Seniority!D$7 + (1+Seniority!C$8-K18)*Seniority!D$8)/(365+(MOD(YEAR(K18),4)=3)),   IF(X18,Seniority!D$8,  IF(Y18, Seniority!D$8*(L18-Seniority!B$8)/(365+(MOD(YEAR(K18),4)=3)),                     IF(S18,(1+L18-Seniority!B$6)*Seniority!D$6/ (365+(MOD(YEAR(K18),4)=3)),0        )) )))))</f>
        <v>0</v>
      </c>
      <c r="R18" s="10"/>
      <c r="S18" s="10" t="b">
        <f>AND(K18&lt;Seniority!B$6,L18&gt;=Seniority!B$6)</f>
        <v>0</v>
      </c>
      <c r="T18" s="10" t="b">
        <f>K18&gt;Seniority!B$6</f>
        <v>1</v>
      </c>
      <c r="U18" s="10" t="b">
        <f>AND(NOT(T18),IF(ISBLANK(Seniority!B$7),1=0,AND(L18 &gt;= Seniority!B$6,K18 &gt;=Seniority!B$7)))</f>
        <v>0</v>
      </c>
      <c r="V18" s="10" t="b">
        <f ca="1">AND(L18&lt;=Seniority!C$7,K18&gt;=Seniority!B$7,NOT(ISBLANK(Seniority(B$5))))</f>
        <v>0</v>
      </c>
      <c r="W18" s="10" t="b">
        <f ca="1">AND(NOT(ISBLANK(Seniority!B$8)),NOT(T18),NOT(V18),AND(L18&gt;=Seniority!B$7,K18&lt;=Seniority!C$8))</f>
        <v>0</v>
      </c>
      <c r="X18" s="10" t="b">
        <f>AND(L18&lt;=Seniority!C$8,K18&gt;=Seniority!B$8)</f>
        <v>0</v>
      </c>
      <c r="Y18" s="10" t="b">
        <f>AND(NOT(ISBLANK(Seniority!B$8)),L18&gt;=Seniority!B$8,K18&lt;Seniority!B$8,Seniority!C$8&gt;=L18)</f>
        <v>0</v>
      </c>
      <c r="Z18" s="10"/>
    </row>
    <row r="19" spans="1:26" x14ac:dyDescent="0.25">
      <c r="A19" s="19"/>
      <c r="B19" s="7"/>
      <c r="C19" s="16" t="str">
        <f>IF(ISBLANK(D19),"",IF(D19&gt;Seniority!C$6,Seniority!C$6,D19))</f>
        <v/>
      </c>
      <c r="D19" s="7"/>
      <c r="E19" s="56"/>
      <c r="F19" s="24">
        <f t="shared" si="0"/>
        <v>0</v>
      </c>
      <c r="G19" s="19"/>
      <c r="H19" s="26"/>
      <c r="I19" s="19" t="str">
        <f>IF(ISBLANK(B19),"",IF(B19&lt;Seniority!M$3,"Term work done while not continuing - put in Seniority sheet",IF(D19&gt;Seniority!C$6,"Note - end date post dates seniority date",IF(AND(B19&lt;DATE(YEAR(B19),8,25), C19&gt;=DATE(YEAR(B19),8,25)),"Please split into two contracts - one ending on Aug 24","")   )))</f>
        <v/>
      </c>
      <c r="J19" s="26"/>
      <c r="K19" s="57">
        <f t="shared" si="2"/>
        <v>688356</v>
      </c>
      <c r="L19" s="57">
        <f t="shared" si="3"/>
        <v>688720</v>
      </c>
      <c r="M19" s="60" cm="1">
        <f t="array" ref="M19">SUMPRODUCT((B$4:B$49&gt;=K19)*(C$4:C$49&lt;=L19)*F$4:F$49)</f>
        <v>0</v>
      </c>
      <c r="N19" s="10"/>
      <c r="O19" s="59">
        <f t="shared" si="4"/>
        <v>0</v>
      </c>
      <c r="P19" s="57"/>
      <c r="Q19" s="59">
        <f>IF(T19, Seniority!D$6,     IF(U19, ((1+L19-Seniority!B$6)*Seniority!D$6 + (1+Seniority!C$7-K19)*Seniority!D$7)/(365+(MOD(YEAR(K19),4)=3)),       IF(V19, Seniority!D$7,          IF(W19, ((1+L19-Seniority!B$7)*Seniority!D$7 + (1+Seniority!C$8-K19)*Seniority!D$8)/(365+(MOD(YEAR(K19),4)=3)),   IF(X19,Seniority!D$8,  IF(Y19, Seniority!D$8*(L19-Seniority!B$8)/(365+(MOD(YEAR(K19),4)=3)),                     IF(S19,(1+L19-Seniority!B$6)*Seniority!D$6/ (365+(MOD(YEAR(K19),4)=3)),0        )) )))))</f>
        <v>0</v>
      </c>
      <c r="R19" s="10"/>
      <c r="S19" s="10" t="b">
        <f>AND(K19&lt;Seniority!B$6,L19&gt;=Seniority!B$6)</f>
        <v>0</v>
      </c>
      <c r="T19" s="10" t="b">
        <f>K19&gt;Seniority!B$6</f>
        <v>1</v>
      </c>
      <c r="U19" s="10" t="b">
        <f>AND(NOT(T19),IF(ISBLANK(Seniority!B$7),1=0,AND(L19 &gt;= Seniority!B$6,K19 &gt;=Seniority!B$7)))</f>
        <v>0</v>
      </c>
      <c r="V19" s="10" t="b">
        <f ca="1">AND(L19&lt;=Seniority!C$7,K19&gt;=Seniority!B$7,NOT(ISBLANK(Seniority(B$5))))</f>
        <v>0</v>
      </c>
      <c r="W19" s="10" t="b">
        <f ca="1">AND(NOT(ISBLANK(Seniority!B$8)),NOT(T19),NOT(V19),AND(L19&gt;=Seniority!B$7,K19&lt;=Seniority!C$8))</f>
        <v>0</v>
      </c>
      <c r="X19" s="10" t="b">
        <f>AND(L19&lt;=Seniority!C$8,K19&gt;=Seniority!B$8)</f>
        <v>0</v>
      </c>
      <c r="Y19" s="10" t="b">
        <f>AND(NOT(ISBLANK(Seniority!B$8)),L19&gt;=Seniority!B$8,K19&lt;Seniority!B$8,Seniority!C$8&gt;=L19)</f>
        <v>0</v>
      </c>
      <c r="Z19" s="10"/>
    </row>
    <row r="20" spans="1:26" x14ac:dyDescent="0.25">
      <c r="A20" s="19"/>
      <c r="B20" s="7"/>
      <c r="C20" s="16" t="str">
        <f>IF(ISBLANK(D20),"",IF(D20&gt;Seniority!C$6,Seniority!C$6,D20))</f>
        <v/>
      </c>
      <c r="D20" s="7"/>
      <c r="E20" s="56"/>
      <c r="F20" s="24">
        <f t="shared" si="0"/>
        <v>0</v>
      </c>
      <c r="G20" s="19"/>
      <c r="H20" s="26"/>
      <c r="I20" s="19" t="str">
        <f>IF(ISBLANK(B20),"",IF(B20&lt;Seniority!M$3,"Term work done while not continuing - put in Seniority sheet",IF(D20&gt;Seniority!C$6,"Note - end date post dates seniority date",IF(AND(B20&lt;DATE(YEAR(B20),8,25), C20&gt;=DATE(YEAR(B20),8,25)),"Please split into two contracts - one ending on Aug 24","")   )))</f>
        <v/>
      </c>
      <c r="J20" s="26"/>
      <c r="K20" s="57">
        <f t="shared" si="2"/>
        <v>687990</v>
      </c>
      <c r="L20" s="57">
        <f t="shared" si="3"/>
        <v>688355</v>
      </c>
      <c r="M20" s="60" cm="1">
        <f t="array" ref="M20">SUMPRODUCT((B$4:B$49&gt;=K20)*(C$4:C$49&lt;=L20)*F$4:F$49)</f>
        <v>0</v>
      </c>
      <c r="N20" s="10"/>
      <c r="O20" s="59">
        <f t="shared" si="4"/>
        <v>0</v>
      </c>
      <c r="P20" s="57"/>
      <c r="Q20" s="59">
        <f>IF(T20, Seniority!D$6,     IF(U20, ((1+L20-Seniority!B$6)*Seniority!D$6 + (1+Seniority!C$7-K20)*Seniority!D$7)/(365+(MOD(YEAR(K20),4)=3)),       IF(V20, Seniority!D$7,          IF(W20, ((1+L20-Seniority!B$7)*Seniority!D$7 + (1+Seniority!C$8-K20)*Seniority!D$8)/(365+(MOD(YEAR(K20),4)=3)),   IF(X20,Seniority!D$8,  IF(Y20, Seniority!D$8*(L20-Seniority!B$8)/(365+(MOD(YEAR(K20),4)=3)),                     IF(S20,(1+L20-Seniority!B$6)*Seniority!D$6/ (365+(MOD(YEAR(K20),4)=3)),0        )) )))))</f>
        <v>0</v>
      </c>
      <c r="R20" s="10"/>
      <c r="S20" s="10" t="b">
        <f>AND(K20&lt;Seniority!B$6,L20&gt;=Seniority!B$6)</f>
        <v>0</v>
      </c>
      <c r="T20" s="10" t="b">
        <f>K20&gt;Seniority!B$6</f>
        <v>1</v>
      </c>
      <c r="U20" s="10" t="b">
        <f>AND(NOT(T20),IF(ISBLANK(Seniority!B$7),1=0,AND(L20 &gt;= Seniority!B$6,K20 &gt;=Seniority!B$7)))</f>
        <v>0</v>
      </c>
      <c r="V20" s="10" t="b">
        <f ca="1">AND(L20&lt;=Seniority!C$7,K20&gt;=Seniority!B$7,NOT(ISBLANK(Seniority(B$5))))</f>
        <v>0</v>
      </c>
      <c r="W20" s="10" t="b">
        <f ca="1">AND(NOT(ISBLANK(Seniority!B$8)),NOT(T20),NOT(V20),AND(L20&gt;=Seniority!B$7,K20&lt;=Seniority!C$8))</f>
        <v>0</v>
      </c>
      <c r="X20" s="10" t="b">
        <f>AND(L20&lt;=Seniority!C$8,K20&gt;=Seniority!B$8)</f>
        <v>0</v>
      </c>
      <c r="Y20" s="10" t="b">
        <f>AND(NOT(ISBLANK(Seniority!B$8)),L20&gt;=Seniority!B$8,K20&lt;Seniority!B$8,Seniority!C$8&gt;=L20)</f>
        <v>0</v>
      </c>
      <c r="Z20" s="10"/>
    </row>
    <row r="21" spans="1:26" x14ac:dyDescent="0.25">
      <c r="A21" s="19"/>
      <c r="B21" s="7"/>
      <c r="C21" s="16" t="str">
        <f>IF(ISBLANK(D21),"",IF(D21&gt;Seniority!C$6,Seniority!C$6,D21))</f>
        <v/>
      </c>
      <c r="D21" s="7"/>
      <c r="E21" s="56"/>
      <c r="F21" s="24">
        <f t="shared" si="0"/>
        <v>0</v>
      </c>
      <c r="G21" s="19"/>
      <c r="H21" s="26"/>
      <c r="I21" s="19" t="str">
        <f>IF(ISBLANK(B21),"",IF(B21&lt;Seniority!M$3,"Term work done while not continuing - put in Seniority sheet",IF(D21&gt;Seniority!C$6,"Note - end date post dates seniority date",IF(AND(B21&lt;DATE(YEAR(B21),8,25), C21&gt;=DATE(YEAR(B21),8,25)),"Please split into two contracts - one ending on Aug 24","")   )))</f>
        <v/>
      </c>
      <c r="J21" s="26"/>
      <c r="K21" s="57">
        <f t="shared" si="2"/>
        <v>687625</v>
      </c>
      <c r="L21" s="57">
        <f t="shared" si="3"/>
        <v>687989</v>
      </c>
      <c r="M21" s="60" cm="1">
        <f t="array" ref="M21">SUMPRODUCT((B$4:B$49&gt;=K21)*(C$4:C$49&lt;=L21)*F$4:F$49)</f>
        <v>0</v>
      </c>
      <c r="N21" s="10"/>
      <c r="O21" s="59">
        <f t="shared" si="4"/>
        <v>0</v>
      </c>
      <c r="P21" s="57"/>
      <c r="Q21" s="59">
        <f>IF(T21, Seniority!D$6,     IF(U21, ((1+L21-Seniority!B$6)*Seniority!D$6 + (1+Seniority!C$7-K21)*Seniority!D$7)/(365+(MOD(YEAR(K21),4)=3)),       IF(V21, Seniority!D$7,          IF(W21, ((1+L21-Seniority!B$7)*Seniority!D$7 + (1+Seniority!C$8-K21)*Seniority!D$8)/(365+(MOD(YEAR(K21),4)=3)),   IF(X21,Seniority!D$8,  IF(Y21, Seniority!D$8*(L21-Seniority!B$8)/(365+(MOD(YEAR(K21),4)=3)),                     IF(S21,(1+L21-Seniority!B$6)*Seniority!D$6/ (365+(MOD(YEAR(K21),4)=3)),0        )) )))))</f>
        <v>0</v>
      </c>
      <c r="R21" s="10"/>
      <c r="S21" s="10" t="b">
        <f>AND(K21&lt;Seniority!B$6,L21&gt;=Seniority!B$6)</f>
        <v>0</v>
      </c>
      <c r="T21" s="10" t="b">
        <f>K21&gt;Seniority!B$6</f>
        <v>1</v>
      </c>
      <c r="U21" s="10" t="b">
        <f>AND(NOT(T21),IF(ISBLANK(Seniority!B$7),1=0,AND(L21 &gt;= Seniority!B$6,K21 &gt;=Seniority!B$7)))</f>
        <v>0</v>
      </c>
      <c r="V21" s="10" t="b">
        <f ca="1">AND(L21&lt;=Seniority!C$7,K21&gt;=Seniority!B$7,NOT(ISBLANK(Seniority(B$5))))</f>
        <v>0</v>
      </c>
      <c r="W21" s="10" t="b">
        <f ca="1">AND(NOT(ISBLANK(Seniority!B$8)),NOT(T21),NOT(V21),AND(L21&gt;=Seniority!B$7,K21&lt;=Seniority!C$8))</f>
        <v>0</v>
      </c>
      <c r="X21" s="10" t="b">
        <f>AND(L21&lt;=Seniority!C$8,K21&gt;=Seniority!B$8)</f>
        <v>0</v>
      </c>
      <c r="Y21" s="10" t="b">
        <f>AND(NOT(ISBLANK(Seniority!B$8)),L21&gt;=Seniority!B$8,K21&lt;Seniority!B$8,Seniority!C$8&gt;=L21)</f>
        <v>0</v>
      </c>
      <c r="Z21" s="10"/>
    </row>
    <row r="22" spans="1:26" x14ac:dyDescent="0.25">
      <c r="A22" s="19"/>
      <c r="B22" s="7"/>
      <c r="C22" s="16" t="str">
        <f>IF(ISBLANK(D22),"",IF(D22&gt;Seniority!C$6,Seniority!C$6,D22))</f>
        <v/>
      </c>
      <c r="D22" s="7"/>
      <c r="E22" s="56"/>
      <c r="F22" s="24">
        <f t="shared" si="0"/>
        <v>0</v>
      </c>
      <c r="G22" s="19"/>
      <c r="H22" s="26"/>
      <c r="I22" s="19" t="str">
        <f>IF(ISBLANK(B22),"",IF(B22&lt;Seniority!M$3,"Term work done while not continuing - put in Seniority sheet",IF(D22&gt;Seniority!C$6,"Note - end date post dates seniority date",IF(AND(B22&lt;DATE(YEAR(B22),8,25), C22&gt;=DATE(YEAR(B22),8,25)),"Please split into two contracts - one ending on Aug 24","")   )))</f>
        <v/>
      </c>
      <c r="J22" s="26"/>
      <c r="K22" s="57">
        <f t="shared" si="2"/>
        <v>687260</v>
      </c>
      <c r="L22" s="57">
        <f t="shared" si="3"/>
        <v>687624</v>
      </c>
      <c r="M22" s="60" cm="1">
        <f t="array" ref="M22">SUMPRODUCT((B$4:B$49&gt;=K22)*(C$4:C$49&lt;=L22)*F$4:F$49)</f>
        <v>0</v>
      </c>
      <c r="N22" s="10"/>
      <c r="O22" s="59">
        <f t="shared" si="4"/>
        <v>0</v>
      </c>
      <c r="P22" s="57"/>
      <c r="Q22" s="59">
        <f>IF(T22, Seniority!D$6,     IF(U22, ((1+L22-Seniority!B$6)*Seniority!D$6 + (1+Seniority!C$7-K22)*Seniority!D$7)/(365+(MOD(YEAR(K22),4)=3)),       IF(V22, Seniority!D$7,          IF(W22, ((1+L22-Seniority!B$7)*Seniority!D$7 + (1+Seniority!C$8-K22)*Seniority!D$8)/(365+(MOD(YEAR(K22),4)=3)),   IF(X22,Seniority!D$8,  IF(Y22, Seniority!D$8*(L22-Seniority!B$8)/(365+(MOD(YEAR(K22),4)=3)),                     IF(S22,(1+L22-Seniority!B$6)*Seniority!D$6/ (365+(MOD(YEAR(K22),4)=3)),0        )) )))))</f>
        <v>0</v>
      </c>
      <c r="R22" s="10"/>
      <c r="S22" s="10" t="b">
        <f>AND(K22&lt;Seniority!B$6,L22&gt;=Seniority!B$6)</f>
        <v>0</v>
      </c>
      <c r="T22" s="10" t="b">
        <f>K22&gt;Seniority!B$6</f>
        <v>1</v>
      </c>
      <c r="U22" s="10" t="b">
        <f>AND(NOT(T22),IF(ISBLANK(Seniority!B$7),1=0,AND(L22 &gt;= Seniority!B$6,K22 &gt;=Seniority!B$7)))</f>
        <v>0</v>
      </c>
      <c r="V22" s="10" t="b">
        <f ca="1">AND(L22&lt;=Seniority!C$7,K22&gt;=Seniority!B$7,NOT(ISBLANK(Seniority(B$5))))</f>
        <v>0</v>
      </c>
      <c r="W22" s="10" t="b">
        <f ca="1">AND(NOT(ISBLANK(Seniority!B$8)),NOT(T22),NOT(V22),AND(L22&gt;=Seniority!B$7,K22&lt;=Seniority!C$8))</f>
        <v>0</v>
      </c>
      <c r="X22" s="10" t="b">
        <f>AND(L22&lt;=Seniority!C$8,K22&gt;=Seniority!B$8)</f>
        <v>0</v>
      </c>
      <c r="Y22" s="10" t="b">
        <f>AND(NOT(ISBLANK(Seniority!B$8)),L22&gt;=Seniority!B$8,K22&lt;Seniority!B$8,Seniority!C$8&gt;=L22)</f>
        <v>0</v>
      </c>
      <c r="Z22" s="10"/>
    </row>
    <row r="23" spans="1:26" x14ac:dyDescent="0.25">
      <c r="A23" s="19"/>
      <c r="B23" s="7"/>
      <c r="C23" s="16" t="str">
        <f>IF(ISBLANK(D23),"",IF(D23&gt;Seniority!C$6,Seniority!C$6,D23))</f>
        <v/>
      </c>
      <c r="D23" s="7"/>
      <c r="E23" s="56"/>
      <c r="F23" s="24">
        <f t="shared" si="0"/>
        <v>0</v>
      </c>
      <c r="G23" s="19"/>
      <c r="H23" s="26"/>
      <c r="I23" s="19" t="str">
        <f>IF(ISBLANK(B23),"",IF(B23&lt;Seniority!M$3,"Term work done while not continuing - put in Seniority sheet",IF(D23&gt;Seniority!C$6,"Note - end date post dates seniority date",IF(AND(B23&lt;DATE(YEAR(B23),8,25), C23&gt;=DATE(YEAR(B23),8,25)),"Please split into two contracts - one ending on Aug 24","")   )))</f>
        <v/>
      </c>
      <c r="J23" s="26"/>
      <c r="K23" s="57">
        <f t="shared" si="2"/>
        <v>686895</v>
      </c>
      <c r="L23" s="57">
        <f t="shared" si="3"/>
        <v>687259</v>
      </c>
      <c r="M23" s="60" cm="1">
        <f t="array" ref="M23">SUMPRODUCT((B$4:B$49&gt;=K23)*(C$4:C$49&lt;=L23)*F$4:F$49)</f>
        <v>0</v>
      </c>
      <c r="N23" s="10"/>
      <c r="O23" s="59">
        <f t="shared" si="4"/>
        <v>0</v>
      </c>
      <c r="P23" s="57"/>
      <c r="Q23" s="59">
        <f>IF(T23, Seniority!D$6,     IF(U23, ((1+L23-Seniority!B$6)*Seniority!D$6 + (1+Seniority!C$7-K23)*Seniority!D$7)/(365+(MOD(YEAR(K23),4)=3)),       IF(V23, Seniority!D$7,          IF(W23, ((1+L23-Seniority!B$7)*Seniority!D$7 + (1+Seniority!C$8-K23)*Seniority!D$8)/(365+(MOD(YEAR(K23),4)=3)),   IF(X23,Seniority!D$8,  IF(Y23, Seniority!D$8*(L23-Seniority!B$8)/(365+(MOD(YEAR(K23),4)=3)),                     IF(S23,(1+L23-Seniority!B$6)*Seniority!D$6/ (365+(MOD(YEAR(K23),4)=3)),0        )) )))))</f>
        <v>0</v>
      </c>
      <c r="R23" s="10"/>
      <c r="S23" s="10" t="b">
        <f>AND(K23&lt;Seniority!B$6,L23&gt;=Seniority!B$6)</f>
        <v>0</v>
      </c>
      <c r="T23" s="10" t="b">
        <f>K23&gt;Seniority!B$6</f>
        <v>1</v>
      </c>
      <c r="U23" s="10" t="b">
        <f>AND(NOT(T23),IF(ISBLANK(Seniority!B$7),1=0,AND(L23 &gt;= Seniority!B$6,K23 &gt;=Seniority!B$7)))</f>
        <v>0</v>
      </c>
      <c r="V23" s="10" t="b">
        <f ca="1">AND(L23&lt;=Seniority!C$7,K23&gt;=Seniority!B$7,NOT(ISBLANK(Seniority(B$5))))</f>
        <v>0</v>
      </c>
      <c r="W23" s="10" t="b">
        <f ca="1">AND(NOT(ISBLANK(Seniority!B$8)),NOT(T23),NOT(V23),AND(L23&gt;=Seniority!B$7,K23&lt;=Seniority!C$8))</f>
        <v>0</v>
      </c>
      <c r="X23" s="10" t="b">
        <f>AND(L23&lt;=Seniority!C$8,K23&gt;=Seniority!B$8)</f>
        <v>0</v>
      </c>
      <c r="Y23" s="10" t="b">
        <f>AND(NOT(ISBLANK(Seniority!B$8)),L23&gt;=Seniority!B$8,K23&lt;Seniority!B$8,Seniority!C$8&gt;=L23)</f>
        <v>0</v>
      </c>
      <c r="Z23" s="10"/>
    </row>
    <row r="24" spans="1:26" x14ac:dyDescent="0.25">
      <c r="A24" s="19"/>
      <c r="B24" s="7"/>
      <c r="C24" s="16" t="str">
        <f>IF(ISBLANK(D24),"",IF(D24&gt;Seniority!C$6,Seniority!C$6,D24))</f>
        <v/>
      </c>
      <c r="D24" s="7"/>
      <c r="E24" s="56"/>
      <c r="F24" s="24">
        <f t="shared" si="0"/>
        <v>0</v>
      </c>
      <c r="G24" s="19"/>
      <c r="H24" s="26"/>
      <c r="I24" s="19" t="str">
        <f>IF(ISBLANK(B24),"",IF(B24&lt;Seniority!M$3,"Term work done while not continuing - put in Seniority sheet",IF(D24&gt;Seniority!C$6,"Note - end date post dates seniority date",IF(AND(B24&lt;DATE(YEAR(B24),8,25), C24&gt;=DATE(YEAR(B24),8,25)),"Please split into two contracts - one ending on Aug 24","")   )))</f>
        <v/>
      </c>
      <c r="J24" s="26"/>
      <c r="K24" s="57">
        <f t="shared" si="2"/>
        <v>686529</v>
      </c>
      <c r="L24" s="57">
        <f t="shared" si="3"/>
        <v>686894</v>
      </c>
      <c r="M24" s="60" cm="1">
        <f t="array" ref="M24">SUMPRODUCT((B$4:B$49&gt;=K24)*(C$4:C$49&lt;=L24)*F$4:F$49)</f>
        <v>0</v>
      </c>
      <c r="N24" s="10"/>
      <c r="O24" s="59">
        <f t="shared" si="4"/>
        <v>0</v>
      </c>
      <c r="P24" s="57"/>
      <c r="Q24" s="59">
        <f>IF(T24, Seniority!D$6,     IF(U24, ((1+L24-Seniority!B$6)*Seniority!D$6 + (1+Seniority!C$7-K24)*Seniority!D$7)/(365+(MOD(YEAR(K24),4)=3)),       IF(V24, Seniority!D$7,          IF(W24, ((1+L24-Seniority!B$7)*Seniority!D$7 + (1+Seniority!C$8-K24)*Seniority!D$8)/(365+(MOD(YEAR(K24),4)=3)),   IF(X24,Seniority!D$8,  IF(Y24, Seniority!D$8*(L24-Seniority!B$8)/(365+(MOD(YEAR(K24),4)=3)),                     IF(S24,(1+L24-Seniority!B$6)*Seniority!D$6/ (365+(MOD(YEAR(K24),4)=3)),0        )) )))))</f>
        <v>0</v>
      </c>
      <c r="R24" s="10"/>
      <c r="S24" s="10" t="b">
        <f>AND(K24&lt;Seniority!B$6,L24&gt;=Seniority!B$6)</f>
        <v>0</v>
      </c>
      <c r="T24" s="10" t="b">
        <f>K24&gt;Seniority!B$6</f>
        <v>1</v>
      </c>
      <c r="U24" s="10" t="b">
        <f>AND(NOT(T24),IF(ISBLANK(Seniority!B$7),1=0,AND(L24 &gt;= Seniority!B$6,K24 &gt;=Seniority!B$7)))</f>
        <v>0</v>
      </c>
      <c r="V24" s="10" t="b">
        <f ca="1">AND(L24&lt;=Seniority!C$7,K24&gt;=Seniority!B$7,NOT(ISBLANK(Seniority(B$5))))</f>
        <v>0</v>
      </c>
      <c r="W24" s="10" t="b">
        <f ca="1">AND(NOT(ISBLANK(Seniority!B$8)),NOT(T24),NOT(V24),AND(L24&gt;=Seniority!B$7,K24&lt;=Seniority!C$8))</f>
        <v>0</v>
      </c>
      <c r="X24" s="10" t="b">
        <f>AND(L24&lt;=Seniority!C$8,K24&gt;=Seniority!B$8)</f>
        <v>0</v>
      </c>
      <c r="Y24" s="10" t="b">
        <f>AND(NOT(ISBLANK(Seniority!B$8)),L24&gt;=Seniority!B$8,K24&lt;Seniority!B$8,Seniority!C$8&gt;=L24)</f>
        <v>0</v>
      </c>
      <c r="Z24" s="10"/>
    </row>
    <row r="25" spans="1:26" x14ac:dyDescent="0.25">
      <c r="A25" s="19"/>
      <c r="B25" s="7"/>
      <c r="C25" s="16" t="str">
        <f>IF(ISBLANK(D25),"",IF(D25&gt;Seniority!C$6,Seniority!C$6,D25))</f>
        <v/>
      </c>
      <c r="D25" s="7"/>
      <c r="E25" s="56"/>
      <c r="F25" s="24">
        <f t="shared" si="0"/>
        <v>0</v>
      </c>
      <c r="G25" s="19"/>
      <c r="H25" s="26"/>
      <c r="I25" s="19" t="str">
        <f>IF(ISBLANK(B25),"",IF(B25&lt;Seniority!M$3,"Term work done while not continuing - put in Seniority sheet",IF(D25&gt;Seniority!C$6,"Note - end date post dates seniority date",IF(AND(B25&lt;DATE(YEAR(B25),8,25), C25&gt;=DATE(YEAR(B25),8,25)),"Please split into two contracts - one ending on Aug 24","")   )))</f>
        <v/>
      </c>
      <c r="J25" s="26"/>
      <c r="K25" s="57">
        <f t="shared" si="2"/>
        <v>686164</v>
      </c>
      <c r="L25" s="57">
        <f t="shared" si="3"/>
        <v>686528</v>
      </c>
      <c r="M25" s="60" cm="1">
        <f t="array" ref="M25">SUMPRODUCT((B$4:B$49&gt;=K25)*(C$4:C$49&lt;=L25)*F$4:F$49)</f>
        <v>0</v>
      </c>
      <c r="N25" s="10"/>
      <c r="O25" s="59">
        <f t="shared" si="4"/>
        <v>0</v>
      </c>
      <c r="P25" s="57"/>
      <c r="Q25" s="59">
        <f>IF(T25, Seniority!D$6,     IF(U25, ((1+L25-Seniority!B$6)*Seniority!D$6 + (1+Seniority!C$7-K25)*Seniority!D$7)/(365+(MOD(YEAR(K25),4)=3)),       IF(V25, Seniority!D$7,          IF(W25, ((1+L25-Seniority!B$7)*Seniority!D$7 + (1+Seniority!C$8-K25)*Seniority!D$8)/(365+(MOD(YEAR(K25),4)=3)),   IF(X25,Seniority!D$8,  IF(Y25, Seniority!D$8*(L25-Seniority!B$8)/(365+(MOD(YEAR(K25),4)=3)),                     IF(S25,(1+L25-Seniority!B$6)*Seniority!D$6/ (365+(MOD(YEAR(K25),4)=3)),0        )) )))))</f>
        <v>0</v>
      </c>
      <c r="R25" s="10"/>
      <c r="S25" s="10" t="b">
        <f>AND(K25&lt;Seniority!B$6,L25&gt;=Seniority!B$6)</f>
        <v>0</v>
      </c>
      <c r="T25" s="10" t="b">
        <f>K25&gt;Seniority!B$6</f>
        <v>1</v>
      </c>
      <c r="U25" s="10" t="b">
        <f>AND(NOT(T25),IF(ISBLANK(Seniority!B$7),1=0,AND(L25 &gt;= Seniority!B$6,K25 &gt;=Seniority!B$7)))</f>
        <v>0</v>
      </c>
      <c r="V25" s="10" t="b">
        <f ca="1">AND(L25&lt;=Seniority!C$7,K25&gt;=Seniority!B$7,NOT(ISBLANK(Seniority(B$5))))</f>
        <v>0</v>
      </c>
      <c r="W25" s="10" t="b">
        <f ca="1">AND(NOT(ISBLANK(Seniority!B$8)),NOT(T25),NOT(V25),AND(L25&gt;=Seniority!B$7,K25&lt;=Seniority!C$8))</f>
        <v>0</v>
      </c>
      <c r="X25" s="10" t="b">
        <f>AND(L25&lt;=Seniority!C$8,K25&gt;=Seniority!B$8)</f>
        <v>0</v>
      </c>
      <c r="Y25" s="10" t="b">
        <f>AND(NOT(ISBLANK(Seniority!B$8)),L25&gt;=Seniority!B$8,K25&lt;Seniority!B$8,Seniority!C$8&gt;=L25)</f>
        <v>0</v>
      </c>
      <c r="Z25" s="10"/>
    </row>
    <row r="26" spans="1:26" x14ac:dyDescent="0.25">
      <c r="A26" s="19"/>
      <c r="B26" s="7"/>
      <c r="C26" s="16" t="str">
        <f>IF(ISBLANK(D26),"",IF(D26&gt;Seniority!C$6,Seniority!C$6,D26))</f>
        <v/>
      </c>
      <c r="D26" s="7"/>
      <c r="E26" s="56"/>
      <c r="F26" s="24">
        <f t="shared" si="0"/>
        <v>0</v>
      </c>
      <c r="G26" s="19"/>
      <c r="H26" s="26"/>
      <c r="I26" s="19" t="str">
        <f>IF(ISBLANK(B26),"",IF(B26&lt;Seniority!M$3,"Term work done while not continuing - put in Seniority sheet",IF(D26&gt;Seniority!C$6,"Note - end date post dates seniority date",IF(AND(B26&lt;DATE(YEAR(B26),8,25), C26&gt;=DATE(YEAR(B26),8,25)),"Please split into two contracts - one ending on Aug 24","")   )))</f>
        <v/>
      </c>
      <c r="J26" s="26"/>
      <c r="K26" s="57">
        <f t="shared" si="2"/>
        <v>685799</v>
      </c>
      <c r="L26" s="57">
        <f t="shared" si="3"/>
        <v>686163</v>
      </c>
      <c r="M26" s="60" cm="1">
        <f t="array" ref="M26">SUMPRODUCT((B$4:B$49&gt;=K26)*(C$4:C$49&lt;=L26)*F$4:F$49)</f>
        <v>0</v>
      </c>
      <c r="N26" s="10"/>
      <c r="O26" s="59">
        <f t="shared" si="4"/>
        <v>0</v>
      </c>
      <c r="P26" s="57"/>
      <c r="Q26" s="59">
        <f>IF(T26, Seniority!D$6,     IF(U26, ((1+L26-Seniority!B$6)*Seniority!D$6 + (1+Seniority!C$7-K26)*Seniority!D$7)/(365+(MOD(YEAR(K26),4)=3)),       IF(V26, Seniority!D$7,          IF(W26, ((1+L26-Seniority!B$7)*Seniority!D$7 + (1+Seniority!C$8-K26)*Seniority!D$8)/(365+(MOD(YEAR(K26),4)=3)),   IF(X26,Seniority!D$8,  IF(Y26, Seniority!D$8*(L26-Seniority!B$8)/(365+(MOD(YEAR(K26),4)=3)),                     IF(S26,(1+L26-Seniority!B$6)*Seniority!D$6/ (365+(MOD(YEAR(K26),4)=3)),0        )) )))))</f>
        <v>0</v>
      </c>
      <c r="R26" s="10"/>
      <c r="S26" s="10" t="b">
        <f>AND(K26&lt;Seniority!B$6,L26&gt;=Seniority!B$6)</f>
        <v>0</v>
      </c>
      <c r="T26" s="10" t="b">
        <f>K26&gt;Seniority!B$6</f>
        <v>1</v>
      </c>
      <c r="U26" s="10" t="b">
        <f>AND(NOT(T26),IF(ISBLANK(Seniority!B$7),1=0,AND(L26 &gt;= Seniority!B$6,K26 &gt;=Seniority!B$7)))</f>
        <v>0</v>
      </c>
      <c r="V26" s="10" t="b">
        <f ca="1">AND(L26&lt;=Seniority!C$7,K26&gt;=Seniority!B$7,NOT(ISBLANK(Seniority(B$5))))</f>
        <v>0</v>
      </c>
      <c r="W26" s="10" t="b">
        <f ca="1">AND(NOT(ISBLANK(Seniority!B$8)),NOT(T26),NOT(V26),AND(L26&gt;=Seniority!B$7,K26&lt;=Seniority!C$8))</f>
        <v>0</v>
      </c>
      <c r="X26" s="10" t="b">
        <f>AND(L26&lt;=Seniority!C$8,K26&gt;=Seniority!B$8)</f>
        <v>0</v>
      </c>
      <c r="Y26" s="10" t="b">
        <f>AND(NOT(ISBLANK(Seniority!B$8)),L26&gt;=Seniority!B$8,K26&lt;Seniority!B$8,Seniority!C$8&gt;=L26)</f>
        <v>0</v>
      </c>
      <c r="Z26" s="10"/>
    </row>
    <row r="27" spans="1:26" x14ac:dyDescent="0.25">
      <c r="A27" s="19"/>
      <c r="B27" s="7"/>
      <c r="C27" s="16" t="str">
        <f>IF(ISBLANK(D27),"",IF(D27&gt;Seniority!C$6,Seniority!C$6,D27))</f>
        <v/>
      </c>
      <c r="D27" s="7"/>
      <c r="E27" s="56"/>
      <c r="F27" s="24">
        <f t="shared" si="0"/>
        <v>0</v>
      </c>
      <c r="G27" s="19"/>
      <c r="H27" s="26"/>
      <c r="I27" s="19" t="str">
        <f>IF(ISBLANK(B27),"",IF(B27&lt;Seniority!M$3,"Term work done while not continuing - put in Seniority sheet",IF(D27&gt;Seniority!C$6,"Note - end date post dates seniority date",IF(AND(B27&lt;DATE(YEAR(B27),8,25), C27&gt;=DATE(YEAR(B27),8,25)),"Please split into two contracts - one ending on Aug 24","")   )))</f>
        <v/>
      </c>
      <c r="J27" s="26"/>
      <c r="K27" s="57">
        <f t="shared" si="2"/>
        <v>685434</v>
      </c>
      <c r="L27" s="57">
        <f t="shared" si="3"/>
        <v>685798</v>
      </c>
      <c r="M27" s="60" cm="1">
        <f t="array" ref="M27">SUMPRODUCT((B$4:B$49&gt;=K27)*(C$4:C$49&lt;=L27)*F$4:F$49)</f>
        <v>0</v>
      </c>
      <c r="N27" s="10"/>
      <c r="O27" s="59">
        <f t="shared" si="4"/>
        <v>0</v>
      </c>
      <c r="P27" s="57"/>
      <c r="Q27" s="59">
        <f>IF(T27, Seniority!D$6,     IF(U27, ((1+L27-Seniority!B$6)*Seniority!D$6 + (1+Seniority!C$7-K27)*Seniority!D$7)/(365+(MOD(YEAR(K27),4)=3)),       IF(V27, Seniority!D$7,          IF(W27, ((1+L27-Seniority!B$7)*Seniority!D$7 + (1+Seniority!C$8-K27)*Seniority!D$8)/(365+(MOD(YEAR(K27),4)=3)),   IF(X27,Seniority!D$8,  IF(Y27, Seniority!D$8*(L27-Seniority!B$8)/(365+(MOD(YEAR(K27),4)=3)),                     IF(S27,(1+L27-Seniority!B$6)*Seniority!D$6/ (365+(MOD(YEAR(K27),4)=3)),0        )) )))))</f>
        <v>0</v>
      </c>
      <c r="R27" s="10"/>
      <c r="S27" s="10" t="b">
        <f>AND(K27&lt;Seniority!B$6,L27&gt;=Seniority!B$6)</f>
        <v>0</v>
      </c>
      <c r="T27" s="10" t="b">
        <f>K27&gt;Seniority!B$6</f>
        <v>1</v>
      </c>
      <c r="U27" s="10" t="b">
        <f>AND(NOT(T27),IF(ISBLANK(Seniority!B$7),1=0,AND(L27 &gt;= Seniority!B$6,K27 &gt;=Seniority!B$7)))</f>
        <v>0</v>
      </c>
      <c r="V27" s="10" t="b">
        <f ca="1">AND(L27&lt;=Seniority!C$7,K27&gt;=Seniority!B$7,NOT(ISBLANK(Seniority(B$5))))</f>
        <v>0</v>
      </c>
      <c r="W27" s="10" t="b">
        <f ca="1">AND(NOT(ISBLANK(Seniority!B$8)),NOT(T27),NOT(V27),AND(L27&gt;=Seniority!B$7,K27&lt;=Seniority!C$8))</f>
        <v>0</v>
      </c>
      <c r="X27" s="10" t="b">
        <f>AND(L27&lt;=Seniority!C$8,K27&gt;=Seniority!B$8)</f>
        <v>0</v>
      </c>
      <c r="Y27" s="10" t="b">
        <f>AND(NOT(ISBLANK(Seniority!B$8)),L27&gt;=Seniority!B$8,K27&lt;Seniority!B$8,Seniority!C$8&gt;=L27)</f>
        <v>0</v>
      </c>
      <c r="Z27" s="10"/>
    </row>
    <row r="28" spans="1:26" x14ac:dyDescent="0.25">
      <c r="A28" s="19"/>
      <c r="B28" s="7"/>
      <c r="C28" s="16" t="str">
        <f>IF(ISBLANK(D28),"",IF(D28&gt;Seniority!C$6,Seniority!C$6,D28))</f>
        <v/>
      </c>
      <c r="D28" s="7"/>
      <c r="E28" s="56"/>
      <c r="F28" s="24">
        <f t="shared" si="0"/>
        <v>0</v>
      </c>
      <c r="G28" s="19"/>
      <c r="H28" s="26"/>
      <c r="I28" s="19" t="str">
        <f>IF(ISBLANK(B28),"",IF(B28&lt;Seniority!M$3,"Term work done while not continuing - put in Seniority sheet",IF(D28&gt;Seniority!C$6,"Note - end date post dates seniority date",IF(AND(B28&lt;DATE(YEAR(B28),8,25), C28&gt;=DATE(YEAR(B28),8,25)),"Please split into two contracts - one ending on Aug 24","")   )))</f>
        <v/>
      </c>
      <c r="J28" s="26"/>
      <c r="K28" s="57">
        <f t="shared" si="2"/>
        <v>685068</v>
      </c>
      <c r="L28" s="57">
        <f t="shared" si="3"/>
        <v>685433</v>
      </c>
      <c r="M28" s="60" cm="1">
        <f t="array" ref="M28">SUMPRODUCT((B$4:B$49&gt;=K28)*(C$4:C$49&lt;=L28)*F$4:F$49)</f>
        <v>0</v>
      </c>
      <c r="N28" s="10"/>
      <c r="O28" s="59">
        <f t="shared" si="4"/>
        <v>0</v>
      </c>
      <c r="P28" s="57"/>
      <c r="Q28" s="59">
        <f>IF(T28, Seniority!D$6,     IF(U28, ((1+L28-Seniority!B$6)*Seniority!D$6 + (1+Seniority!C$7-K28)*Seniority!D$7)/(365+(MOD(YEAR(K28),4)=3)),       IF(V28, Seniority!D$7,          IF(W28, ((1+L28-Seniority!B$7)*Seniority!D$7 + (1+Seniority!C$8-K28)*Seniority!D$8)/(365+(MOD(YEAR(K28),4)=3)),   IF(X28,Seniority!D$8,  IF(Y28, Seniority!D$8*(L28-Seniority!B$8)/(365+(MOD(YEAR(K28),4)=3)),                     IF(S28,(1+L28-Seniority!B$6)*Seniority!D$6/ (365+(MOD(YEAR(K28),4)=3)),0        )) )))))</f>
        <v>0</v>
      </c>
      <c r="R28" s="10"/>
      <c r="S28" s="10" t="b">
        <f>AND(K28&lt;Seniority!B$6,L28&gt;=Seniority!B$6)</f>
        <v>0</v>
      </c>
      <c r="T28" s="10" t="b">
        <f>K28&gt;Seniority!B$6</f>
        <v>1</v>
      </c>
      <c r="U28" s="10" t="b">
        <f>AND(NOT(T28),IF(ISBLANK(Seniority!B$7),1=0,AND(L28 &gt;= Seniority!B$6,K28 &gt;=Seniority!B$7)))</f>
        <v>0</v>
      </c>
      <c r="V28" s="10" t="b">
        <f ca="1">AND(L28&lt;=Seniority!C$7,K28&gt;=Seniority!B$7,NOT(ISBLANK(Seniority(B$5))))</f>
        <v>0</v>
      </c>
      <c r="W28" s="10" t="b">
        <f ca="1">AND(NOT(ISBLANK(Seniority!B$8)),NOT(T28),NOT(V28),AND(L28&gt;=Seniority!B$7,K28&lt;=Seniority!C$8))</f>
        <v>0</v>
      </c>
      <c r="X28" s="10" t="b">
        <f>AND(L28&lt;=Seniority!C$8,K28&gt;=Seniority!B$8)</f>
        <v>0</v>
      </c>
      <c r="Y28" s="10" t="b">
        <f>AND(NOT(ISBLANK(Seniority!B$8)),L28&gt;=Seniority!B$8,K28&lt;Seniority!B$8,Seniority!C$8&gt;=L28)</f>
        <v>0</v>
      </c>
      <c r="Z28" s="10"/>
    </row>
    <row r="29" spans="1:26" x14ac:dyDescent="0.25">
      <c r="A29" s="19"/>
      <c r="B29" s="7"/>
      <c r="C29" s="16" t="str">
        <f>IF(ISBLANK(D29),"",IF(D29&gt;Seniority!C$6,Seniority!C$6,D29))</f>
        <v/>
      </c>
      <c r="D29" s="7"/>
      <c r="E29" s="56"/>
      <c r="F29" s="24">
        <f t="shared" si="0"/>
        <v>0</v>
      </c>
      <c r="G29" s="19"/>
      <c r="H29" s="26"/>
      <c r="I29" s="19" t="str">
        <f>IF(ISBLANK(B29),"",IF(B29&lt;Seniority!M$3,"Term work done while not continuing - put in Seniority sheet",IF(D29&gt;Seniority!C$6,"Note - end date post dates seniority date",IF(AND(B29&lt;DATE(YEAR(B29),8,25), C29&gt;=DATE(YEAR(B29),8,25)),"Please split into two contracts - one ending on Aug 24","")   )))</f>
        <v/>
      </c>
      <c r="J29" s="26"/>
      <c r="K29" s="57">
        <f t="shared" si="2"/>
        <v>684703</v>
      </c>
      <c r="L29" s="57">
        <f t="shared" si="3"/>
        <v>685067</v>
      </c>
      <c r="M29" s="60" cm="1">
        <f t="array" ref="M29">SUMPRODUCT((B$4:B$49&gt;=K29)*(C$4:C$49&lt;=L29)*F$4:F$49)</f>
        <v>0</v>
      </c>
      <c r="N29" s="10"/>
      <c r="O29" s="59">
        <f t="shared" si="4"/>
        <v>0</v>
      </c>
      <c r="P29" s="57"/>
      <c r="Q29" s="59">
        <f>IF(T29, Seniority!D$6,     IF(U29, ((1+L29-Seniority!B$6)*Seniority!D$6 + (1+Seniority!C$7-K29)*Seniority!D$7)/(365+(MOD(YEAR(K29),4)=3)),       IF(V29, Seniority!D$7,          IF(W29, ((1+L29-Seniority!B$7)*Seniority!D$7 + (1+Seniority!C$8-K29)*Seniority!D$8)/(365+(MOD(YEAR(K29),4)=3)),   IF(X29,Seniority!D$8,  IF(Y29, Seniority!D$8*(L29-Seniority!B$8)/(365+(MOD(YEAR(K29),4)=3)),                     IF(S29,(1+L29-Seniority!B$6)*Seniority!D$6/ (365+(MOD(YEAR(K29),4)=3)),0        )) )))))</f>
        <v>0</v>
      </c>
      <c r="R29" s="10"/>
      <c r="S29" s="10" t="b">
        <f>AND(K29&lt;Seniority!B$6,L29&gt;=Seniority!B$6)</f>
        <v>0</v>
      </c>
      <c r="T29" s="10" t="b">
        <f>K29&gt;Seniority!B$6</f>
        <v>1</v>
      </c>
      <c r="U29" s="10" t="b">
        <f>AND(NOT(T29),IF(ISBLANK(Seniority!B$7),1=0,AND(L29 &gt;= Seniority!B$6,K29 &gt;=Seniority!B$7)))</f>
        <v>0</v>
      </c>
      <c r="V29" s="10" t="b">
        <f ca="1">AND(L29&lt;=Seniority!C$7,K29&gt;=Seniority!B$7,NOT(ISBLANK(Seniority(B$5))))</f>
        <v>0</v>
      </c>
      <c r="W29" s="10" t="b">
        <f ca="1">AND(NOT(ISBLANK(Seniority!B$8)),NOT(T29),NOT(V29),AND(L29&gt;=Seniority!B$7,K29&lt;=Seniority!C$8))</f>
        <v>0</v>
      </c>
      <c r="X29" s="10" t="b">
        <f>AND(L29&lt;=Seniority!C$8,K29&gt;=Seniority!B$8)</f>
        <v>0</v>
      </c>
      <c r="Y29" s="10" t="b">
        <f>AND(NOT(ISBLANK(Seniority!B$8)),L29&gt;=Seniority!B$8,K29&lt;Seniority!B$8,Seniority!C$8&gt;=L29)</f>
        <v>0</v>
      </c>
      <c r="Z29" s="10"/>
    </row>
    <row r="30" spans="1:26" x14ac:dyDescent="0.25">
      <c r="A30" s="19"/>
      <c r="B30" s="7"/>
      <c r="C30" s="16" t="str">
        <f>IF(ISBLANK(D30),"",IF(D30&gt;Seniority!C$6,Seniority!C$6,D30))</f>
        <v/>
      </c>
      <c r="D30" s="7"/>
      <c r="E30" s="56"/>
      <c r="F30" s="24">
        <f t="shared" si="0"/>
        <v>0</v>
      </c>
      <c r="G30" s="19"/>
      <c r="H30" s="26"/>
      <c r="I30" s="19" t="str">
        <f>IF(ISBLANK(B30),"",IF(B30&lt;Seniority!M$3,"Term work done while not continuing - put in Seniority sheet",IF(D30&gt;Seniority!C$6,"Note - end date post dates seniority date",IF(AND(B30&lt;DATE(YEAR(B30),8,25), C30&gt;=DATE(YEAR(B30),8,25)),"Please split into two contracts - one ending on Aug 24","")   )))</f>
        <v/>
      </c>
      <c r="J30" s="26"/>
      <c r="K30" s="57">
        <f t="shared" si="2"/>
        <v>684338</v>
      </c>
      <c r="L30" s="57">
        <f t="shared" si="3"/>
        <v>684702</v>
      </c>
      <c r="M30" s="60" cm="1">
        <f t="array" ref="M30">SUMPRODUCT((B$4:B$49&gt;=K30)*(C$4:C$49&lt;=L30)*F$4:F$49)</f>
        <v>0</v>
      </c>
      <c r="N30" s="10"/>
      <c r="O30" s="59">
        <f t="shared" si="4"/>
        <v>0</v>
      </c>
      <c r="P30" s="57"/>
      <c r="Q30" s="59">
        <f>IF(T30, Seniority!D$6,     IF(U30, ((1+L30-Seniority!B$6)*Seniority!D$6 + (1+Seniority!C$7-K30)*Seniority!D$7)/(365+(MOD(YEAR(K30),4)=3)),       IF(V30, Seniority!D$7,          IF(W30, ((1+L30-Seniority!B$7)*Seniority!D$7 + (1+Seniority!C$8-K30)*Seniority!D$8)/(365+(MOD(YEAR(K30),4)=3)),   IF(X30,Seniority!D$8,  IF(Y30, Seniority!D$8*(L30-Seniority!B$8)/(365+(MOD(YEAR(K30),4)=3)),                     IF(S30,(1+L30-Seniority!B$6)*Seniority!D$6/ (365+(MOD(YEAR(K30),4)=3)),0        )) )))))</f>
        <v>0</v>
      </c>
      <c r="R30" s="10"/>
      <c r="S30" s="10" t="b">
        <f>AND(K30&lt;Seniority!B$6,L30&gt;=Seniority!B$6)</f>
        <v>0</v>
      </c>
      <c r="T30" s="10" t="b">
        <f>K30&gt;Seniority!B$6</f>
        <v>1</v>
      </c>
      <c r="U30" s="10" t="b">
        <f>AND(NOT(T30),IF(ISBLANK(Seniority!B$7),1=0,AND(L30 &gt;= Seniority!B$6,K30 &gt;=Seniority!B$7)))</f>
        <v>0</v>
      </c>
      <c r="V30" s="10" t="b">
        <f ca="1">AND(L30&lt;=Seniority!C$7,K30&gt;=Seniority!B$7,NOT(ISBLANK(Seniority(B$5))))</f>
        <v>0</v>
      </c>
      <c r="W30" s="10" t="b">
        <f ca="1">AND(NOT(ISBLANK(Seniority!B$8)),NOT(T30),NOT(V30),AND(L30&gt;=Seniority!B$7,K30&lt;=Seniority!C$8))</f>
        <v>0</v>
      </c>
      <c r="X30" s="10" t="b">
        <f>AND(L30&lt;=Seniority!C$8,K30&gt;=Seniority!B$8)</f>
        <v>0</v>
      </c>
      <c r="Y30" s="10" t="b">
        <f>AND(NOT(ISBLANK(Seniority!B$8)),L30&gt;=Seniority!B$8,K30&lt;Seniority!B$8,Seniority!C$8&gt;=L30)</f>
        <v>0</v>
      </c>
      <c r="Z30" s="10"/>
    </row>
    <row r="31" spans="1:26" x14ac:dyDescent="0.25">
      <c r="A31" s="19"/>
      <c r="B31" s="7"/>
      <c r="C31" s="16" t="str">
        <f>IF(ISBLANK(D31),"",IF(D31&gt;Seniority!C$6,Seniority!C$6,D31))</f>
        <v/>
      </c>
      <c r="D31" s="7"/>
      <c r="E31" s="56"/>
      <c r="F31" s="24">
        <f t="shared" si="0"/>
        <v>0</v>
      </c>
      <c r="G31" s="19"/>
      <c r="H31" s="26"/>
      <c r="I31" s="19" t="str">
        <f>IF(ISBLANK(B31),"",IF(B31&lt;Seniority!M$3,"Term work done while not continuing - put in Seniority sheet",IF(D31&gt;Seniority!C$6,"Note - end date post dates seniority date",IF(AND(B31&lt;DATE(YEAR(B31),8,25), C31&gt;=DATE(YEAR(B31),8,25)),"Please split into two contracts - one ending on Aug 24","")   )))</f>
        <v/>
      </c>
      <c r="J31" s="26"/>
      <c r="K31" s="57">
        <f t="shared" si="2"/>
        <v>683973</v>
      </c>
      <c r="L31" s="57">
        <f t="shared" si="3"/>
        <v>684337</v>
      </c>
      <c r="M31" s="60" cm="1">
        <f t="array" ref="M31">SUMPRODUCT((B$4:B$49&gt;=K31)*(C$4:C$49&lt;=L31)*F$4:F$49)</f>
        <v>0</v>
      </c>
      <c r="N31" s="10"/>
      <c r="O31" s="59">
        <f t="shared" si="4"/>
        <v>0</v>
      </c>
      <c r="P31" s="57"/>
      <c r="Q31" s="59">
        <f>IF(T31, Seniority!D$6,     IF(U31, ((1+L31-Seniority!B$6)*Seniority!D$6 + (1+Seniority!C$7-K31)*Seniority!D$7)/(365+(MOD(YEAR(K31),4)=3)),       IF(V31, Seniority!D$7,          IF(W31, ((1+L31-Seniority!B$7)*Seniority!D$7 + (1+Seniority!C$8-K31)*Seniority!D$8)/(365+(MOD(YEAR(K31),4)=3)),   IF(X31,Seniority!D$8,  IF(Y31, Seniority!D$8*(L31-Seniority!B$8)/(365+(MOD(YEAR(K31),4)=3)),                     IF(S31,(1+L31-Seniority!B$6)*Seniority!D$6/ (365+(MOD(YEAR(K31),4)=3)),0        )) )))))</f>
        <v>0</v>
      </c>
      <c r="R31" s="10"/>
      <c r="S31" s="10" t="b">
        <f>AND(K31&lt;Seniority!B$6,L31&gt;=Seniority!B$6)</f>
        <v>0</v>
      </c>
      <c r="T31" s="10" t="b">
        <f>K31&gt;Seniority!B$6</f>
        <v>1</v>
      </c>
      <c r="U31" s="10" t="b">
        <f>AND(NOT(T31),IF(ISBLANK(Seniority!B$7),1=0,AND(L31 &gt;= Seniority!B$6,K31 &gt;=Seniority!B$7)))</f>
        <v>0</v>
      </c>
      <c r="V31" s="10" t="b">
        <f ca="1">AND(L31&lt;=Seniority!C$7,K31&gt;=Seniority!B$7,NOT(ISBLANK(Seniority(B$5))))</f>
        <v>0</v>
      </c>
      <c r="W31" s="10" t="b">
        <f ca="1">AND(NOT(ISBLANK(Seniority!B$8)),NOT(T31),NOT(V31),AND(L31&gt;=Seniority!B$7,K31&lt;=Seniority!C$8))</f>
        <v>0</v>
      </c>
      <c r="X31" s="10" t="b">
        <f>AND(L31&lt;=Seniority!C$8,K31&gt;=Seniority!B$8)</f>
        <v>0</v>
      </c>
      <c r="Y31" s="10" t="b">
        <f>AND(NOT(ISBLANK(Seniority!B$8)),L31&gt;=Seniority!B$8,K31&lt;Seniority!B$8,Seniority!C$8&gt;=L31)</f>
        <v>0</v>
      </c>
      <c r="Z31" s="10"/>
    </row>
    <row r="32" spans="1:26" x14ac:dyDescent="0.25">
      <c r="A32" s="19"/>
      <c r="B32" s="7"/>
      <c r="C32" s="16" t="str">
        <f>IF(ISBLANK(D32),"",IF(D32&gt;Seniority!C$6,Seniority!C$6,D32))</f>
        <v/>
      </c>
      <c r="D32" s="7"/>
      <c r="E32" s="56"/>
      <c r="F32" s="24">
        <f t="shared" si="0"/>
        <v>0</v>
      </c>
      <c r="G32" s="19"/>
      <c r="H32" s="26"/>
      <c r="I32" s="19" t="str">
        <f>IF(ISBLANK(B32),"",IF(B32&lt;Seniority!M$3,"Term work done while not continuing - put in Seniority sheet",IF(D32&gt;Seniority!C$6,"Note - end date post dates seniority date",IF(AND(B32&lt;DATE(YEAR(B32),8,25), C32&gt;=DATE(YEAR(B32),8,25)),"Please split into two contracts - one ending on Aug 24","")   )))</f>
        <v/>
      </c>
      <c r="J32" s="26"/>
      <c r="K32" s="57">
        <f t="shared" si="2"/>
        <v>683607</v>
      </c>
      <c r="L32" s="57">
        <f t="shared" si="3"/>
        <v>683972</v>
      </c>
      <c r="M32" s="60" cm="1">
        <f t="array" ref="M32">SUMPRODUCT((B$4:B$49&gt;=K32)*(C$4:C$49&lt;=L32)*F$4:F$49)</f>
        <v>0</v>
      </c>
      <c r="N32" s="10"/>
      <c r="O32" s="59">
        <f t="shared" si="4"/>
        <v>0</v>
      </c>
      <c r="P32" s="57"/>
      <c r="Q32" s="59">
        <f>IF(T32, Seniority!D$6,     IF(U32, ((1+L32-Seniority!B$6)*Seniority!D$6 + (1+Seniority!C$7-K32)*Seniority!D$7)/(365+(MOD(YEAR(K32),4)=3)),       IF(V32, Seniority!D$7,          IF(W32, ((1+L32-Seniority!B$7)*Seniority!D$7 + (1+Seniority!C$8-K32)*Seniority!D$8)/(365+(MOD(YEAR(K32),4)=3)),   IF(X32,Seniority!D$8,  IF(Y32, Seniority!D$8*(L32-Seniority!B$8)/(365+(MOD(YEAR(K32),4)=3)),                     IF(S32,(1+L32-Seniority!B$6)*Seniority!D$6/ (365+(MOD(YEAR(K32),4)=3)),0        )) )))))</f>
        <v>0</v>
      </c>
      <c r="R32" s="10"/>
      <c r="S32" s="10" t="b">
        <f>AND(K32&lt;Seniority!B$6,L32&gt;=Seniority!B$6)</f>
        <v>0</v>
      </c>
      <c r="T32" s="10" t="b">
        <f>K32&gt;Seniority!B$6</f>
        <v>1</v>
      </c>
      <c r="U32" s="10" t="b">
        <f>AND(NOT(T32),IF(ISBLANK(Seniority!B$7),1=0,AND(L32 &gt;= Seniority!B$6,K32 &gt;=Seniority!B$7)))</f>
        <v>0</v>
      </c>
      <c r="V32" s="10" t="b">
        <f ca="1">AND(L32&lt;=Seniority!C$7,K32&gt;=Seniority!B$7,NOT(ISBLANK(Seniority(B$5))))</f>
        <v>0</v>
      </c>
      <c r="W32" s="10" t="b">
        <f ca="1">AND(NOT(ISBLANK(Seniority!B$8)),NOT(T32),NOT(V32),AND(L32&gt;=Seniority!B$7,K32&lt;=Seniority!C$8))</f>
        <v>0</v>
      </c>
      <c r="X32" s="10" t="b">
        <f>AND(L32&lt;=Seniority!C$8,K32&gt;=Seniority!B$8)</f>
        <v>0</v>
      </c>
      <c r="Y32" s="10" t="b">
        <f>AND(NOT(ISBLANK(Seniority!B$8)),L32&gt;=Seniority!B$8,K32&lt;Seniority!B$8,Seniority!C$8&gt;=L32)</f>
        <v>0</v>
      </c>
      <c r="Z32" s="10"/>
    </row>
    <row r="33" spans="1:26" x14ac:dyDescent="0.25">
      <c r="A33" s="19"/>
      <c r="B33" s="7"/>
      <c r="C33" s="16" t="str">
        <f>IF(ISBLANK(D33),"",IF(D33&gt;Seniority!C$6,Seniority!C$6,D33))</f>
        <v/>
      </c>
      <c r="D33" s="7"/>
      <c r="E33" s="56"/>
      <c r="F33" s="24">
        <f t="shared" si="0"/>
        <v>0</v>
      </c>
      <c r="G33" s="19"/>
      <c r="H33" s="26"/>
      <c r="I33" s="19" t="str">
        <f>IF(ISBLANK(B33),"",IF(B33&lt;Seniority!M$3,"Term work done while not continuing - put in Seniority sheet",IF(D33&gt;Seniority!C$6,"Note - end date post dates seniority date",IF(AND(B33&lt;DATE(YEAR(B33),8,25), C33&gt;=DATE(YEAR(B33),8,25)),"Please split into two contracts - one ending on Aug 24","")   )))</f>
        <v/>
      </c>
      <c r="J33" s="26"/>
      <c r="K33" s="57">
        <f t="shared" si="2"/>
        <v>683242</v>
      </c>
      <c r="L33" s="57">
        <f t="shared" si="3"/>
        <v>683606</v>
      </c>
      <c r="M33" s="60" cm="1">
        <f t="array" ref="M33">SUMPRODUCT((B$4:B$49&gt;=K33)*(C$4:C$49&lt;=L33)*F$4:F$49)</f>
        <v>0</v>
      </c>
      <c r="N33" s="10"/>
      <c r="O33" s="59">
        <f t="shared" si="4"/>
        <v>0</v>
      </c>
      <c r="P33" s="57"/>
      <c r="Q33" s="59">
        <f>IF(T33, Seniority!D$6,     IF(U33, ((1+L33-Seniority!B$6)*Seniority!D$6 + (1+Seniority!C$7-K33)*Seniority!D$7)/(365+(MOD(YEAR(K33),4)=3)),       IF(V33, Seniority!D$7,          IF(W33, ((1+L33-Seniority!B$7)*Seniority!D$7 + (1+Seniority!C$8-K33)*Seniority!D$8)/(365+(MOD(YEAR(K33),4)=3)),   IF(X33,Seniority!D$8,  IF(Y33, Seniority!D$8*(L33-Seniority!B$8)/(365+(MOD(YEAR(K33),4)=3)),                     IF(S33,(1+L33-Seniority!B$6)*Seniority!D$6/ (365+(MOD(YEAR(K33),4)=3)),0        )) )))))</f>
        <v>0</v>
      </c>
      <c r="R33" s="10"/>
      <c r="S33" s="10" t="b">
        <f>AND(K33&lt;Seniority!B$6,L33&gt;=Seniority!B$6)</f>
        <v>0</v>
      </c>
      <c r="T33" s="10" t="b">
        <f>K33&gt;Seniority!B$6</f>
        <v>1</v>
      </c>
      <c r="U33" s="10" t="b">
        <f>AND(NOT(T33),IF(ISBLANK(Seniority!B$7),1=0,AND(L33 &gt;= Seniority!B$6,K33 &gt;=Seniority!B$7)))</f>
        <v>0</v>
      </c>
      <c r="V33" s="10" t="b">
        <f ca="1">AND(L33&lt;=Seniority!C$7,K33&gt;=Seniority!B$7,NOT(ISBLANK(Seniority(B$5))))</f>
        <v>0</v>
      </c>
      <c r="W33" s="10" t="b">
        <f ca="1">AND(NOT(ISBLANK(Seniority!B$8)),NOT(T33),NOT(V33),AND(L33&gt;=Seniority!B$7,K33&lt;=Seniority!C$8))</f>
        <v>0</v>
      </c>
      <c r="X33" s="10" t="b">
        <f>AND(L33&lt;=Seniority!C$8,K33&gt;=Seniority!B$8)</f>
        <v>0</v>
      </c>
      <c r="Y33" s="10" t="b">
        <f>AND(NOT(ISBLANK(Seniority!B$8)),L33&gt;=Seniority!B$8,K33&lt;Seniority!B$8,Seniority!C$8&gt;=L33)</f>
        <v>0</v>
      </c>
      <c r="Z33" s="10"/>
    </row>
    <row r="34" spans="1:26" x14ac:dyDescent="0.25">
      <c r="A34" s="19"/>
      <c r="B34" s="7"/>
      <c r="C34" s="16" t="str">
        <f>IF(ISBLANK(D34),"",IF(D34&gt;Seniority!C$6,Seniority!C$6,D34))</f>
        <v/>
      </c>
      <c r="D34" s="7"/>
      <c r="E34" s="56"/>
      <c r="F34" s="24">
        <f t="shared" si="0"/>
        <v>0</v>
      </c>
      <c r="G34" s="19"/>
      <c r="H34" s="26"/>
      <c r="I34" s="19" t="str">
        <f>IF(ISBLANK(B34),"",IF(B34&lt;Seniority!M$3,"Term work done while not continuing - put in Seniority sheet",IF(D34&gt;Seniority!C$6,"Note - end date post dates seniority date",IF(AND(B34&lt;DATE(YEAR(B34),8,25), C34&gt;=DATE(YEAR(B34),8,25)),"Please split into two contracts - one ending on Aug 24","")   )))</f>
        <v/>
      </c>
      <c r="J34" s="26"/>
      <c r="K34" s="57">
        <f t="shared" si="2"/>
        <v>682877</v>
      </c>
      <c r="L34" s="57">
        <f t="shared" si="3"/>
        <v>683241</v>
      </c>
      <c r="M34" s="60" cm="1">
        <f t="array" ref="M34">SUMPRODUCT((B$4:B$49&gt;=K34)*(C$4:C$49&lt;=L34)*F$4:F$49)</f>
        <v>0</v>
      </c>
      <c r="N34" s="10"/>
      <c r="O34" s="59">
        <f t="shared" si="4"/>
        <v>0</v>
      </c>
      <c r="P34" s="57"/>
      <c r="Q34" s="59">
        <f>IF(T34, Seniority!D$6,     IF(U34, ((1+L34-Seniority!B$6)*Seniority!D$6 + (1+Seniority!C$7-K34)*Seniority!D$7)/(365+(MOD(YEAR(K34),4)=3)),       IF(V34, Seniority!D$7,          IF(W34, ((1+L34-Seniority!B$7)*Seniority!D$7 + (1+Seniority!C$8-K34)*Seniority!D$8)/(365+(MOD(YEAR(K34),4)=3)),   IF(X34,Seniority!D$8,  IF(Y34, Seniority!D$8*(L34-Seniority!B$8)/(365+(MOD(YEAR(K34),4)=3)),                     IF(S34,(1+L34-Seniority!B$6)*Seniority!D$6/ (365+(MOD(YEAR(K34),4)=3)),0        )) )))))</f>
        <v>0</v>
      </c>
      <c r="R34" s="10"/>
      <c r="S34" s="10" t="b">
        <f>AND(K34&lt;Seniority!B$6,L34&gt;=Seniority!B$6)</f>
        <v>0</v>
      </c>
      <c r="T34" s="10" t="b">
        <f>K34&gt;Seniority!B$6</f>
        <v>1</v>
      </c>
      <c r="U34" s="10" t="b">
        <f>AND(NOT(T34),IF(ISBLANK(Seniority!B$7),1=0,AND(L34 &gt;= Seniority!B$6,K34 &gt;=Seniority!B$7)))</f>
        <v>0</v>
      </c>
      <c r="V34" s="10" t="b">
        <f ca="1">AND(L34&lt;=Seniority!C$7,K34&gt;=Seniority!B$7,NOT(ISBLANK(Seniority(B$5))))</f>
        <v>0</v>
      </c>
      <c r="W34" s="10" t="b">
        <f ca="1">AND(NOT(ISBLANK(Seniority!B$8)),NOT(T34),NOT(V34),AND(L34&gt;=Seniority!B$7,K34&lt;=Seniority!C$8))</f>
        <v>0</v>
      </c>
      <c r="X34" s="10" t="b">
        <f>AND(L34&lt;=Seniority!C$8,K34&gt;=Seniority!B$8)</f>
        <v>0</v>
      </c>
      <c r="Y34" s="10" t="b">
        <f>AND(NOT(ISBLANK(Seniority!B$8)),L34&gt;=Seniority!B$8,K34&lt;Seniority!B$8,Seniority!C$8&gt;=L34)</f>
        <v>0</v>
      </c>
      <c r="Z34" s="10"/>
    </row>
    <row r="35" spans="1:26" x14ac:dyDescent="0.25">
      <c r="A35" s="19"/>
      <c r="B35" s="7"/>
      <c r="C35" s="16" t="str">
        <f>IF(ISBLANK(D35),"",IF(D35&gt;Seniority!C$6,Seniority!C$6,D35))</f>
        <v/>
      </c>
      <c r="D35" s="7"/>
      <c r="E35" s="56"/>
      <c r="F35" s="24">
        <f t="shared" si="0"/>
        <v>0</v>
      </c>
      <c r="G35" s="19"/>
      <c r="H35" s="26"/>
      <c r="I35" s="19" t="str">
        <f>IF(ISBLANK(B35),"",IF(B35&lt;Seniority!M$3,"Term work done while not continuing - put in Seniority sheet",IF(D35&gt;Seniority!C$6,"Note - end date post dates seniority date",IF(AND(B35&lt;DATE(YEAR(B35),8,25), C35&gt;=DATE(YEAR(B35),8,25)),"Please split into two contracts - one ending on Aug 24","")   )))</f>
        <v/>
      </c>
      <c r="J35" s="26"/>
      <c r="K35" s="57">
        <f t="shared" si="2"/>
        <v>682512</v>
      </c>
      <c r="L35" s="57">
        <f t="shared" si="3"/>
        <v>682876</v>
      </c>
      <c r="M35" s="60" cm="1">
        <f t="array" ref="M35">SUMPRODUCT((B$4:B$49&gt;=K35)*(C$4:C$49&lt;=L35)*F$4:F$49)</f>
        <v>0</v>
      </c>
      <c r="N35" s="10"/>
      <c r="O35" s="59">
        <f t="shared" si="4"/>
        <v>0</v>
      </c>
      <c r="P35" s="57"/>
      <c r="Q35" s="59">
        <f>IF(T35, Seniority!D$6,     IF(U35, ((1+L35-Seniority!B$6)*Seniority!D$6 + (1+Seniority!C$7-K35)*Seniority!D$7)/(365+(MOD(YEAR(K35),4)=3)),       IF(V35, Seniority!D$7,          IF(W35, ((1+L35-Seniority!B$7)*Seniority!D$7 + (1+Seniority!C$8-K35)*Seniority!D$8)/(365+(MOD(YEAR(K35),4)=3)),   IF(X35,Seniority!D$8,  IF(Y35, Seniority!D$8*(L35-Seniority!B$8)/(365+(MOD(YEAR(K35),4)=3)),                     IF(S35,(1+L35-Seniority!B$6)*Seniority!D$6/ (365+(MOD(YEAR(K35),4)=3)),0        )) )))))</f>
        <v>0</v>
      </c>
      <c r="R35" s="10"/>
      <c r="S35" s="10" t="b">
        <f>AND(K35&lt;Seniority!B$6,L35&gt;=Seniority!B$6)</f>
        <v>0</v>
      </c>
      <c r="T35" s="10" t="b">
        <f>K35&gt;Seniority!B$6</f>
        <v>1</v>
      </c>
      <c r="U35" s="10" t="b">
        <f>AND(NOT(T35),IF(ISBLANK(Seniority!B$7),1=0,AND(L35 &gt;= Seniority!B$6,K35 &gt;=Seniority!B$7)))</f>
        <v>0</v>
      </c>
      <c r="V35" s="10" t="b">
        <f ca="1">AND(L35&lt;=Seniority!C$7,K35&gt;=Seniority!B$7,NOT(ISBLANK(Seniority(B$5))))</f>
        <v>0</v>
      </c>
      <c r="W35" s="10" t="b">
        <f ca="1">AND(NOT(ISBLANK(Seniority!B$8)),NOT(T35),NOT(V35),AND(L35&gt;=Seniority!B$7,K35&lt;=Seniority!C$8))</f>
        <v>0</v>
      </c>
      <c r="X35" s="10" t="b">
        <f>AND(L35&lt;=Seniority!C$8,K35&gt;=Seniority!B$8)</f>
        <v>0</v>
      </c>
      <c r="Y35" s="10" t="b">
        <f>AND(NOT(ISBLANK(Seniority!B$8)),L35&gt;=Seniority!B$8,K35&lt;Seniority!B$8,Seniority!C$8&gt;=L35)</f>
        <v>0</v>
      </c>
      <c r="Z35" s="10"/>
    </row>
    <row r="36" spans="1:26" x14ac:dyDescent="0.25">
      <c r="A36" s="19"/>
      <c r="B36" s="7"/>
      <c r="C36" s="16" t="str">
        <f>IF(ISBLANK(D36),"",IF(D36&gt;Seniority!C$6,Seniority!C$6,D36))</f>
        <v/>
      </c>
      <c r="D36" s="7"/>
      <c r="E36" s="56"/>
      <c r="F36" s="24">
        <f t="shared" si="0"/>
        <v>0</v>
      </c>
      <c r="G36" s="19"/>
      <c r="H36" s="26"/>
      <c r="I36" s="19" t="str">
        <f>IF(ISBLANK(B36),"",IF(B36&lt;Seniority!M$3,"Term work done while not continuing - put in Seniority sheet",IF(D36&gt;Seniority!C$6,"Note - end date post dates seniority date",IF(AND(B36&lt;DATE(YEAR(B36),8,25), C36&gt;=DATE(YEAR(B36),8,25)),"Please split into two contracts - one ending on Aug 24","")   )))</f>
        <v/>
      </c>
      <c r="J36" s="26"/>
      <c r="K36" s="57">
        <f t="shared" si="2"/>
        <v>682146</v>
      </c>
      <c r="L36" s="57">
        <f t="shared" si="3"/>
        <v>682511</v>
      </c>
      <c r="M36" s="60" cm="1">
        <f t="array" ref="M36">SUMPRODUCT((B$4:B$49&gt;=K36)*(C$4:C$49&lt;=L36)*F$4:F$49)</f>
        <v>0</v>
      </c>
      <c r="N36" s="10"/>
      <c r="O36" s="59">
        <f t="shared" si="4"/>
        <v>0</v>
      </c>
      <c r="P36" s="57"/>
      <c r="Q36" s="59">
        <f>IF(T36, Seniority!D$6,     IF(U36, ((1+L36-Seniority!B$6)*Seniority!D$6 + (1+Seniority!C$7-K36)*Seniority!D$7)/(365+(MOD(YEAR(K36),4)=3)),       IF(V36, Seniority!D$7,          IF(W36, ((1+L36-Seniority!B$7)*Seniority!D$7 + (1+Seniority!C$8-K36)*Seniority!D$8)/(365+(MOD(YEAR(K36),4)=3)),   IF(X36,Seniority!D$8,  IF(Y36, Seniority!D$8*(L36-Seniority!B$8)/(365+(MOD(YEAR(K36),4)=3)),                     IF(S36,(1+L36-Seniority!B$6)*Seniority!D$6/ (365+(MOD(YEAR(K36),4)=3)),0        )) )))))</f>
        <v>0</v>
      </c>
      <c r="R36" s="10"/>
      <c r="S36" s="10" t="b">
        <f>AND(K36&lt;Seniority!B$6,L36&gt;=Seniority!B$6)</f>
        <v>0</v>
      </c>
      <c r="T36" s="10" t="b">
        <f>K36&gt;Seniority!B$6</f>
        <v>1</v>
      </c>
      <c r="U36" s="10" t="b">
        <f>AND(NOT(T36),IF(ISBLANK(Seniority!B$7),1=0,AND(L36 &gt;= Seniority!B$6,K36 &gt;=Seniority!B$7)))</f>
        <v>0</v>
      </c>
      <c r="V36" s="10" t="b">
        <f ca="1">AND(L36&lt;=Seniority!C$7,K36&gt;=Seniority!B$7,NOT(ISBLANK(Seniority(B$5))))</f>
        <v>0</v>
      </c>
      <c r="W36" s="10" t="b">
        <f ca="1">AND(NOT(ISBLANK(Seniority!B$8)),NOT(T36),NOT(V36),AND(L36&gt;=Seniority!B$7,K36&lt;=Seniority!C$8))</f>
        <v>0</v>
      </c>
      <c r="X36" s="10" t="b">
        <f>AND(L36&lt;=Seniority!C$8,K36&gt;=Seniority!B$8)</f>
        <v>0</v>
      </c>
      <c r="Y36" s="10" t="b">
        <f>AND(NOT(ISBLANK(Seniority!B$8)),L36&gt;=Seniority!B$8,K36&lt;Seniority!B$8,Seniority!C$8&gt;=L36)</f>
        <v>0</v>
      </c>
      <c r="Z36" s="10"/>
    </row>
    <row r="37" spans="1:26" x14ac:dyDescent="0.25">
      <c r="A37" s="19"/>
      <c r="B37" s="7"/>
      <c r="C37" s="16" t="str">
        <f>IF(ISBLANK(D37),"",IF(D37&gt;Seniority!C$6,Seniority!C$6,D37))</f>
        <v/>
      </c>
      <c r="D37" s="7"/>
      <c r="E37" s="56"/>
      <c r="F37" s="24">
        <f t="shared" si="0"/>
        <v>0</v>
      </c>
      <c r="G37" s="19"/>
      <c r="H37" s="26"/>
      <c r="I37" s="19" t="str">
        <f>IF(ISBLANK(B37),"",IF(B37&lt;Seniority!M$3,"Term work done while not continuing - put in Seniority sheet",IF(D37&gt;Seniority!C$6,"Note - end date post dates seniority date",IF(AND(B37&lt;DATE(YEAR(B37),8,25), C37&gt;=DATE(YEAR(B37),8,25)),"Please split into two contracts - one ending on Aug 24","")   )))</f>
        <v/>
      </c>
      <c r="J37" s="26"/>
      <c r="K37" s="57">
        <f t="shared" si="2"/>
        <v>681781</v>
      </c>
      <c r="L37" s="57">
        <f t="shared" si="3"/>
        <v>682145</v>
      </c>
      <c r="M37" s="60" cm="1">
        <f t="array" ref="M37">SUMPRODUCT((B$4:B$49&gt;=K37)*(C$4:C$49&lt;=L37)*F$4:F$49)</f>
        <v>0</v>
      </c>
      <c r="N37" s="10"/>
      <c r="O37" s="59">
        <f t="shared" si="4"/>
        <v>0</v>
      </c>
      <c r="P37" s="57"/>
      <c r="Q37" s="59">
        <f>IF(T37, Seniority!D$6,     IF(U37, ((1+L37-Seniority!B$6)*Seniority!D$6 + (1+Seniority!C$7-K37)*Seniority!D$7)/(365+(MOD(YEAR(K37),4)=3)),       IF(V37, Seniority!D$7,          IF(W37, ((1+L37-Seniority!B$7)*Seniority!D$7 + (1+Seniority!C$8-K37)*Seniority!D$8)/(365+(MOD(YEAR(K37),4)=3)),   IF(X37,Seniority!D$8,  IF(Y37, Seniority!D$8*(L37-Seniority!B$8)/(365+(MOD(YEAR(K37),4)=3)),                     IF(S37,(1+L37-Seniority!B$6)*Seniority!D$6/ (365+(MOD(YEAR(K37),4)=3)),0        )) )))))</f>
        <v>0</v>
      </c>
      <c r="R37" s="10"/>
      <c r="S37" s="10" t="b">
        <f>AND(K37&lt;Seniority!B$6,L37&gt;=Seniority!B$6)</f>
        <v>0</v>
      </c>
      <c r="T37" s="10" t="b">
        <f>K37&gt;Seniority!B$6</f>
        <v>1</v>
      </c>
      <c r="U37" s="10" t="b">
        <f>AND(NOT(T37),IF(ISBLANK(Seniority!B$7),1=0,AND(L37 &gt;= Seniority!B$6,K37 &gt;=Seniority!B$7)))</f>
        <v>0</v>
      </c>
      <c r="V37" s="10" t="b">
        <f ca="1">AND(L37&lt;=Seniority!C$7,K37&gt;=Seniority!B$7,NOT(ISBLANK(Seniority(B$5))))</f>
        <v>0</v>
      </c>
      <c r="W37" s="10" t="b">
        <f ca="1">AND(NOT(ISBLANK(Seniority!B$8)),NOT(T37),NOT(V37),AND(L37&gt;=Seniority!B$7,K37&lt;=Seniority!C$8))</f>
        <v>0</v>
      </c>
      <c r="X37" s="10" t="b">
        <f>AND(L37&lt;=Seniority!C$8,K37&gt;=Seniority!B$8)</f>
        <v>0</v>
      </c>
      <c r="Y37" s="10" t="b">
        <f>AND(NOT(ISBLANK(Seniority!B$8)),L37&gt;=Seniority!B$8,K37&lt;Seniority!B$8,Seniority!C$8&gt;=L37)</f>
        <v>0</v>
      </c>
      <c r="Z37" s="10"/>
    </row>
    <row r="38" spans="1:26" x14ac:dyDescent="0.25">
      <c r="A38" s="19"/>
      <c r="B38" s="7"/>
      <c r="C38" s="16" t="str">
        <f>IF(ISBLANK(D38),"",IF(D38&gt;Seniority!C$6,Seniority!C$6,D38))</f>
        <v/>
      </c>
      <c r="D38" s="7"/>
      <c r="E38" s="56"/>
      <c r="F38" s="24">
        <f t="shared" si="0"/>
        <v>0</v>
      </c>
      <c r="G38" s="19"/>
      <c r="H38" s="26"/>
      <c r="I38" s="19" t="str">
        <f>IF(ISBLANK(B38),"",IF(B38&lt;Seniority!M$3,"Term work done while not continuing - put in Seniority sheet",IF(D38&gt;Seniority!C$6,"Note - end date post dates seniority date",IF(AND(B38&lt;DATE(YEAR(B38),8,25), C38&gt;=DATE(YEAR(B38),8,25)),"Please split into two contracts - one ending on Aug 24","")   )))</f>
        <v/>
      </c>
      <c r="J38" s="26"/>
      <c r="K38" s="57">
        <f t="shared" si="2"/>
        <v>681416</v>
      </c>
      <c r="L38" s="57">
        <f t="shared" si="3"/>
        <v>681780</v>
      </c>
      <c r="M38" s="60" cm="1">
        <f t="array" ref="M38">SUMPRODUCT((B$4:B$49&gt;=K38)*(C$4:C$49&lt;=L38)*F$4:F$49)</f>
        <v>0</v>
      </c>
      <c r="N38" s="10"/>
      <c r="O38" s="59">
        <f t="shared" si="4"/>
        <v>0</v>
      </c>
      <c r="P38" s="57"/>
      <c r="Q38" s="59">
        <f>IF(T38, Seniority!D$6,     IF(U38, ((1+L38-Seniority!B$6)*Seniority!D$6 + (1+Seniority!C$7-K38)*Seniority!D$7)/(365+(MOD(YEAR(K38),4)=3)),       IF(V38, Seniority!D$7,          IF(W38, ((1+L38-Seniority!B$7)*Seniority!D$7 + (1+Seniority!C$8-K38)*Seniority!D$8)/(365+(MOD(YEAR(K38),4)=3)),   IF(X38,Seniority!D$8,  IF(Y38, Seniority!D$8*(L38-Seniority!B$8)/(365+(MOD(YEAR(K38),4)=3)),                     IF(S38,(1+L38-Seniority!B$6)*Seniority!D$6/ (365+(MOD(YEAR(K38),4)=3)),0        )) )))))</f>
        <v>0</v>
      </c>
      <c r="R38" s="10"/>
      <c r="S38" s="10" t="b">
        <f>AND(K38&lt;Seniority!B$6,L38&gt;=Seniority!B$6)</f>
        <v>0</v>
      </c>
      <c r="T38" s="10" t="b">
        <f>K38&gt;Seniority!B$6</f>
        <v>1</v>
      </c>
      <c r="U38" s="10" t="b">
        <f>AND(NOT(T38),IF(ISBLANK(Seniority!B$7),1=0,AND(L38 &gt;= Seniority!B$6,K38 &gt;=Seniority!B$7)))</f>
        <v>0</v>
      </c>
      <c r="V38" s="10" t="b">
        <f ca="1">AND(L38&lt;=Seniority!C$7,K38&gt;=Seniority!B$7,NOT(ISBLANK(Seniority(B$5))))</f>
        <v>0</v>
      </c>
      <c r="W38" s="10" t="b">
        <f ca="1">AND(NOT(ISBLANK(Seniority!B$8)),NOT(T38),NOT(V38),AND(L38&gt;=Seniority!B$7,K38&lt;=Seniority!C$8))</f>
        <v>0</v>
      </c>
      <c r="X38" s="10" t="b">
        <f>AND(L38&lt;=Seniority!C$8,K38&gt;=Seniority!B$8)</f>
        <v>0</v>
      </c>
      <c r="Y38" s="10" t="b">
        <f>AND(NOT(ISBLANK(Seniority!B$8)),L38&gt;=Seniority!B$8,K38&lt;Seniority!B$8,Seniority!C$8&gt;=L38)</f>
        <v>0</v>
      </c>
      <c r="Z38" s="10"/>
    </row>
    <row r="39" spans="1:26" x14ac:dyDescent="0.25">
      <c r="A39" s="19"/>
      <c r="B39" s="16"/>
      <c r="C39" s="16"/>
      <c r="D39" s="16"/>
      <c r="E39" s="22"/>
      <c r="F39" s="24"/>
      <c r="G39" s="19"/>
      <c r="H39" s="26"/>
      <c r="I39" s="19"/>
      <c r="J39" s="26"/>
      <c r="K39" s="26"/>
      <c r="L39" s="26"/>
      <c r="M39" s="26"/>
      <c r="N39" s="26"/>
      <c r="O39" s="26"/>
      <c r="P39" s="30"/>
      <c r="Q39" s="26"/>
      <c r="R39" s="26"/>
      <c r="S39" s="26"/>
      <c r="T39" s="26"/>
      <c r="U39" s="26"/>
      <c r="V39" s="26"/>
      <c r="W39" s="26"/>
      <c r="X39" s="26"/>
      <c r="Y39" s="26"/>
      <c r="Z39" s="10"/>
    </row>
    <row r="40" spans="1:26" x14ac:dyDescent="0.25">
      <c r="A40" s="19"/>
      <c r="B40" s="16"/>
      <c r="C40" s="16"/>
      <c r="D40" s="16"/>
      <c r="E40" s="22"/>
      <c r="F40" s="24"/>
      <c r="G40" s="19"/>
      <c r="H40" s="26"/>
      <c r="I40" s="19"/>
      <c r="J40" s="26"/>
      <c r="K40" s="26"/>
      <c r="L40" s="26"/>
      <c r="M40" s="26"/>
      <c r="N40" s="26"/>
      <c r="O40" s="26"/>
      <c r="P40" s="30"/>
      <c r="Q40" s="26"/>
      <c r="R40" s="26"/>
      <c r="S40" s="26"/>
      <c r="T40" s="26"/>
      <c r="U40" s="26"/>
      <c r="V40" s="26"/>
      <c r="W40" s="26"/>
      <c r="X40" s="26"/>
      <c r="Y40" s="26"/>
      <c r="Z40" s="10"/>
    </row>
    <row r="41" spans="1:26" x14ac:dyDescent="0.25">
      <c r="A41" s="19"/>
      <c r="B41" s="16"/>
      <c r="C41" s="16"/>
      <c r="D41" s="16"/>
      <c r="E41" s="22"/>
      <c r="F41" s="24"/>
      <c r="G41" s="19"/>
      <c r="H41" s="26"/>
      <c r="I41" s="19"/>
      <c r="J41" s="26"/>
      <c r="K41" s="26"/>
      <c r="L41" s="26"/>
      <c r="M41" s="26"/>
      <c r="N41" s="26"/>
      <c r="O41" s="26"/>
      <c r="P41" s="30"/>
      <c r="Q41" s="26"/>
      <c r="R41" s="26"/>
      <c r="S41" s="26"/>
      <c r="T41" s="26"/>
      <c r="U41" s="26"/>
      <c r="V41" s="26"/>
      <c r="W41" s="26"/>
      <c r="X41" s="26"/>
      <c r="Y41" s="26"/>
    </row>
    <row r="42" spans="1:26" x14ac:dyDescent="0.25">
      <c r="A42" s="19"/>
      <c r="B42" s="16"/>
      <c r="C42" s="16"/>
      <c r="D42" s="16"/>
      <c r="E42" s="22"/>
      <c r="F42" s="24"/>
      <c r="G42" s="19"/>
      <c r="H42" s="26"/>
      <c r="I42" s="19"/>
      <c r="J42" s="26"/>
      <c r="K42" s="26"/>
      <c r="L42" s="26"/>
      <c r="M42" s="26"/>
      <c r="N42" s="26"/>
      <c r="O42" s="26"/>
      <c r="P42" s="30"/>
      <c r="Q42" s="26"/>
      <c r="R42" s="26"/>
      <c r="S42" s="26"/>
      <c r="T42" s="26"/>
      <c r="U42" s="26"/>
      <c r="V42" s="26"/>
      <c r="W42" s="26"/>
      <c r="X42" s="26"/>
      <c r="Y42" s="26"/>
    </row>
    <row r="43" spans="1:26" x14ac:dyDescent="0.25">
      <c r="A43" s="19"/>
      <c r="B43" s="16"/>
      <c r="C43" s="16"/>
      <c r="D43" s="16"/>
      <c r="E43" s="22"/>
      <c r="F43" s="24"/>
      <c r="G43" s="19"/>
      <c r="H43" s="26"/>
      <c r="I43" s="19"/>
      <c r="J43" s="26"/>
      <c r="K43" s="26"/>
      <c r="L43" s="26"/>
      <c r="M43" s="26"/>
      <c r="N43" s="26"/>
      <c r="O43" s="26"/>
      <c r="P43" s="30"/>
      <c r="Q43" s="26"/>
      <c r="R43" s="26"/>
      <c r="S43" s="26"/>
      <c r="T43" s="26"/>
      <c r="U43" s="26"/>
      <c r="V43" s="26"/>
      <c r="W43" s="26"/>
      <c r="X43" s="26"/>
      <c r="Y43" s="26"/>
    </row>
    <row r="44" spans="1:26" x14ac:dyDescent="0.25">
      <c r="A44" s="19"/>
      <c r="B44" s="16"/>
      <c r="C44" s="16"/>
      <c r="D44" s="16"/>
      <c r="E44" s="22"/>
      <c r="F44" s="24"/>
      <c r="G44" s="19"/>
      <c r="H44" s="26"/>
      <c r="I44" s="19"/>
      <c r="J44" s="26"/>
      <c r="K44" s="26"/>
      <c r="L44" s="26"/>
      <c r="M44" s="26"/>
      <c r="N44" s="26"/>
      <c r="O44" s="26"/>
      <c r="P44" s="30"/>
      <c r="Q44" s="26"/>
      <c r="R44" s="26"/>
      <c r="S44" s="26"/>
      <c r="T44" s="26"/>
      <c r="U44" s="26"/>
      <c r="V44" s="26"/>
      <c r="W44" s="26"/>
      <c r="X44" s="26"/>
      <c r="Y44" s="26"/>
    </row>
    <row r="45" spans="1:26" x14ac:dyDescent="0.25">
      <c r="A45" s="19"/>
      <c r="B45" s="16"/>
      <c r="C45" s="16"/>
      <c r="D45" s="16"/>
      <c r="E45" s="22"/>
      <c r="F45" s="24"/>
      <c r="G45" s="19"/>
      <c r="H45" s="26"/>
      <c r="I45" s="19"/>
      <c r="J45" s="26"/>
      <c r="K45" s="26"/>
      <c r="L45" s="26"/>
      <c r="M45" s="26"/>
      <c r="N45" s="26"/>
      <c r="O45" s="26"/>
      <c r="P45" s="30"/>
      <c r="Q45" s="26"/>
      <c r="R45" s="26"/>
      <c r="S45" s="26"/>
      <c r="T45" s="26"/>
      <c r="U45" s="26"/>
      <c r="V45" s="26"/>
      <c r="W45" s="26"/>
      <c r="X45" s="26"/>
      <c r="Y45" s="26"/>
    </row>
    <row r="46" spans="1:26" x14ac:dyDescent="0.25">
      <c r="A46" s="19"/>
      <c r="B46" s="16"/>
      <c r="C46" s="16"/>
      <c r="D46" s="16"/>
      <c r="E46" s="22"/>
      <c r="F46" s="24"/>
      <c r="G46" s="19"/>
      <c r="H46" s="26"/>
      <c r="I46" s="19"/>
      <c r="J46" s="26"/>
      <c r="K46" s="26"/>
      <c r="L46" s="26"/>
      <c r="M46" s="26"/>
      <c r="N46" s="26"/>
      <c r="O46" s="26"/>
      <c r="P46" s="30"/>
      <c r="Q46" s="26"/>
      <c r="R46" s="26"/>
      <c r="S46" s="26"/>
      <c r="T46" s="26"/>
      <c r="U46" s="26"/>
      <c r="V46" s="26"/>
      <c r="W46" s="26"/>
      <c r="X46" s="26"/>
      <c r="Y46" s="26"/>
    </row>
    <row r="47" spans="1:26" x14ac:dyDescent="0.25">
      <c r="A47" s="19"/>
      <c r="B47" s="16"/>
      <c r="C47" s="16"/>
      <c r="D47" s="16"/>
      <c r="E47" s="22"/>
      <c r="F47" s="24"/>
      <c r="G47" s="19"/>
      <c r="H47" s="26"/>
      <c r="I47" s="19"/>
      <c r="J47" s="26"/>
      <c r="K47" s="26"/>
      <c r="L47" s="26"/>
      <c r="M47" s="26"/>
      <c r="N47" s="26"/>
      <c r="O47" s="26"/>
      <c r="P47" s="30"/>
      <c r="Q47" s="26"/>
      <c r="R47" s="26"/>
      <c r="S47" s="26"/>
      <c r="T47" s="26"/>
      <c r="U47" s="26"/>
      <c r="V47" s="26"/>
      <c r="W47" s="26"/>
      <c r="X47" s="26"/>
      <c r="Y47" s="26"/>
    </row>
    <row r="48" spans="1:26" x14ac:dyDescent="0.25">
      <c r="A48" s="19"/>
      <c r="B48" s="16"/>
      <c r="C48" s="16"/>
      <c r="D48" s="16"/>
      <c r="E48" s="22"/>
      <c r="F48" s="24"/>
      <c r="G48" s="19"/>
      <c r="H48" s="26"/>
      <c r="I48" s="19"/>
      <c r="J48" s="26"/>
      <c r="K48" s="26"/>
      <c r="L48" s="26"/>
      <c r="M48" s="26"/>
      <c r="N48" s="26"/>
      <c r="O48" s="26"/>
      <c r="P48" s="30"/>
      <c r="Q48" s="26"/>
      <c r="R48" s="26"/>
      <c r="S48" s="26"/>
      <c r="T48" s="26"/>
      <c r="U48" s="26"/>
      <c r="V48" s="26"/>
      <c r="W48" s="26"/>
      <c r="X48" s="26"/>
      <c r="Y48" s="26"/>
    </row>
    <row r="49" spans="1:25" x14ac:dyDescent="0.25">
      <c r="A49" s="19"/>
      <c r="B49" s="16"/>
      <c r="C49" s="16"/>
      <c r="D49" s="16"/>
      <c r="E49" s="22"/>
      <c r="F49" s="24"/>
      <c r="G49" s="19"/>
      <c r="H49" s="26"/>
      <c r="I49" s="19"/>
      <c r="J49" s="26"/>
      <c r="K49" s="26"/>
      <c r="L49" s="26"/>
      <c r="M49" s="26"/>
      <c r="N49" s="26"/>
      <c r="O49" s="26"/>
      <c r="P49" s="30"/>
      <c r="Q49" s="26"/>
      <c r="R49" s="26"/>
      <c r="S49" s="26"/>
      <c r="T49" s="26"/>
      <c r="U49" s="26"/>
      <c r="V49" s="26"/>
      <c r="W49" s="26"/>
      <c r="X49" s="26"/>
      <c r="Y49" s="26"/>
    </row>
    <row r="50" spans="1:25" x14ac:dyDescent="0.25">
      <c r="A50" s="19"/>
      <c r="B50" s="19"/>
      <c r="C50" s="16"/>
      <c r="D50" s="19"/>
      <c r="E50" s="19"/>
      <c r="F50" s="24"/>
      <c r="G50" s="19"/>
      <c r="H50" s="26"/>
      <c r="I50" s="19"/>
      <c r="J50" s="26"/>
      <c r="K50" s="26"/>
      <c r="L50" s="26"/>
      <c r="M50" s="26"/>
      <c r="N50" s="26"/>
      <c r="O50" s="26"/>
      <c r="P50" s="30"/>
      <c r="Q50" s="26"/>
      <c r="R50" s="26"/>
      <c r="S50" s="26"/>
      <c r="T50" s="26"/>
      <c r="U50" s="26"/>
      <c r="V50" s="26"/>
      <c r="W50" s="26"/>
      <c r="X50" s="26"/>
      <c r="Y50" s="26"/>
    </row>
    <row r="51" spans="1:25" x14ac:dyDescent="0.25">
      <c r="A51" s="19"/>
      <c r="B51" s="19"/>
      <c r="C51" s="16"/>
      <c r="D51" s="19"/>
      <c r="E51" s="19"/>
      <c r="F51" s="24"/>
      <c r="G51" s="19"/>
      <c r="H51" s="26"/>
      <c r="I51" s="19"/>
      <c r="J51" s="26"/>
      <c r="K51" s="26"/>
      <c r="L51" s="26"/>
      <c r="M51" s="26"/>
      <c r="N51" s="26"/>
      <c r="O51" s="26"/>
      <c r="P51" s="30"/>
      <c r="Q51" s="26"/>
      <c r="R51" s="26"/>
      <c r="S51" s="26"/>
      <c r="T51" s="26"/>
      <c r="U51" s="26"/>
      <c r="V51" s="26"/>
      <c r="W51" s="26"/>
      <c r="X51" s="26"/>
      <c r="Y51" s="26"/>
    </row>
    <row r="52" spans="1:25" x14ac:dyDescent="0.25">
      <c r="A52" s="19"/>
      <c r="B52" s="19"/>
      <c r="C52" s="16"/>
      <c r="D52" s="19"/>
      <c r="E52" s="19"/>
      <c r="F52" s="24"/>
      <c r="G52" s="19"/>
      <c r="H52" s="26"/>
      <c r="I52" s="19"/>
      <c r="J52" s="26"/>
      <c r="K52" s="26"/>
      <c r="L52" s="26"/>
      <c r="M52" s="26"/>
      <c r="N52" s="26"/>
      <c r="O52" s="26"/>
      <c r="P52" s="30"/>
      <c r="Q52" s="26"/>
      <c r="R52" s="26"/>
      <c r="S52" s="26"/>
      <c r="T52" s="26"/>
      <c r="U52" s="26"/>
      <c r="V52" s="26"/>
      <c r="W52" s="26"/>
      <c r="X52" s="26"/>
      <c r="Y52" s="26"/>
    </row>
  </sheetData>
  <sheetProtection algorithmName="SHA-512" hashValue="wysuCut70ArDW1waXjgDAbVA5rYjGVxjYNggaMBfooUGJnDftYe8dRmo8glZB6YDN2NrBK/9jsaR8lwU2eNRzA==" saltValue="2KXm7z3Pawqvk4uLVeqgTg==" spinCount="100000" sheet="1" selectLockedCells="1"/>
  <mergeCells count="3">
    <mergeCell ref="K1:O2"/>
    <mergeCell ref="A1:G2"/>
    <mergeCell ref="I1:I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Seniority</vt:lpstr>
      <vt:lpstr>Term While Continuing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Dominique Roelants</dc:creator>
  <cp:lastModifiedBy>Dominique Roelants</cp:lastModifiedBy>
  <dcterms:created xsi:type="dcterms:W3CDTF">2015-06-05T18:17:20Z</dcterms:created>
  <dcterms:modified xsi:type="dcterms:W3CDTF">2026-01-06T22:29:13Z</dcterms:modified>
</cp:coreProperties>
</file>